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40009_{3A141E39-DEE5-4F98-8E3D-460A91761368}" xr6:coauthVersionLast="47" xr6:coauthVersionMax="47" xr10:uidLastSave="{00000000-0000-0000-0000-000000000000}"/>
  <bookViews>
    <workbookView xWindow="-120" yWindow="-120" windowWidth="29040" windowHeight="15840" firstSheet="5" activeTab="5"/>
  </bookViews>
  <sheets>
    <sheet name="qJdB2g" sheetId="22" state="hidden" r:id="rId1"/>
    <sheet name="UWxrMr" sheetId="21" state="hidden" r:id="rId2"/>
    <sheet name="03WQkM" sheetId="20" state="hidden" r:id="rId3"/>
    <sheet name="r6xrMg" sheetId="4" state="hidden" r:id="rId4"/>
    <sheet name="电气部分材料表" sheetId="1" state="hidden" r:id="rId5"/>
    <sheet name="材料表" sheetId="2" r:id="rId6"/>
  </sheets>
  <definedNames>
    <definedName name="_xlnm._FilterDatabase" localSheetId="5" hidden="1">材料表!$B$1:$J$52</definedName>
    <definedName name="_xlnm._FilterDatabase" localSheetId="4" hidden="1">电气部分材料表!$C$2:$C$58</definedName>
    <definedName name="_xlnm.Print_Area" localSheetId="5">材料表!#REF!</definedName>
    <definedName name="_xlnm.Print_Area" localSheetId="4">电气部分材料表!$A$1:$I$58</definedName>
    <definedName name="_xlnm.Print_Titles" localSheetId="5">材料表!$1:$4</definedName>
    <definedName name="_xlnm.Print_Titles" localSheetId="4">电气部分材料表!$2:$3</definedName>
  </definedNames>
  <calcPr calcId="191029" fullCalcOnLoad="1"/>
</workbook>
</file>

<file path=xl/calcChain.xml><?xml version="1.0" encoding="utf-8"?>
<calcChain xmlns="http://schemas.openxmlformats.org/spreadsheetml/2006/main">
  <c r="D5" i="1" l="1"/>
  <c r="G5" i="1"/>
  <c r="I5" i="1"/>
  <c r="D6" i="1"/>
  <c r="G6" i="1"/>
  <c r="I6" i="1"/>
  <c r="B13" i="1"/>
  <c r="C13" i="1"/>
  <c r="D13" i="1" s="1"/>
  <c r="G13" i="1" s="1"/>
  <c r="H13" i="1"/>
  <c r="B14" i="1"/>
  <c r="C14" i="1"/>
  <c r="H14" i="1"/>
  <c r="B15" i="1"/>
  <c r="C15" i="1"/>
  <c r="D15" i="1" s="1"/>
  <c r="G15" i="1" s="1"/>
  <c r="H15" i="1"/>
  <c r="B16" i="1"/>
  <c r="C16" i="1"/>
  <c r="D16" i="1"/>
  <c r="G16" i="1" s="1"/>
  <c r="H16" i="1"/>
  <c r="B17" i="1"/>
  <c r="C17" i="1"/>
  <c r="H17" i="1"/>
  <c r="I17" i="1" s="1"/>
  <c r="B18" i="1"/>
  <c r="C18" i="1"/>
  <c r="D18" i="1"/>
  <c r="G18" i="1" s="1"/>
  <c r="H18" i="1"/>
  <c r="I18" i="1" s="1"/>
  <c r="B19" i="1"/>
  <c r="C19" i="1"/>
  <c r="D19" i="1"/>
  <c r="G19" i="1" s="1"/>
  <c r="H19" i="1"/>
  <c r="I19" i="1" s="1"/>
  <c r="B20" i="1"/>
  <c r="C20" i="1"/>
  <c r="D20" i="1"/>
  <c r="G20" i="1" s="1"/>
  <c r="H20" i="1"/>
  <c r="I20" i="1" s="1"/>
  <c r="B21" i="1"/>
  <c r="C21" i="1"/>
  <c r="D21" i="1"/>
  <c r="G21" i="1" s="1"/>
  <c r="H21" i="1"/>
  <c r="I21" i="1" s="1"/>
  <c r="B22" i="1"/>
  <c r="C22" i="1"/>
  <c r="D22" i="1"/>
  <c r="G22" i="1" s="1"/>
  <c r="H22" i="1"/>
  <c r="I22" i="1" s="1"/>
  <c r="B23" i="1"/>
  <c r="C23" i="1"/>
  <c r="D23" i="1"/>
  <c r="G23" i="1" s="1"/>
  <c r="H23" i="1"/>
  <c r="I23" i="1" s="1"/>
  <c r="B24" i="1"/>
  <c r="C24" i="1"/>
  <c r="D24" i="1"/>
  <c r="G24" i="1" s="1"/>
  <c r="H24" i="1"/>
  <c r="I24" i="1" s="1"/>
  <c r="B25" i="1"/>
  <c r="C25" i="1"/>
  <c r="D25" i="1"/>
  <c r="G25" i="1" s="1"/>
  <c r="H25" i="1"/>
  <c r="I25" i="1" s="1"/>
  <c r="B26" i="1"/>
  <c r="C26" i="1"/>
  <c r="D26" i="1"/>
  <c r="G26" i="1" s="1"/>
  <c r="H26" i="1"/>
  <c r="I26" i="1" s="1"/>
  <c r="B27" i="1"/>
  <c r="C27" i="1"/>
  <c r="D27" i="1"/>
  <c r="G27" i="1" s="1"/>
  <c r="H27" i="1"/>
  <c r="I27" i="1" s="1"/>
  <c r="B28" i="1"/>
  <c r="C28" i="1"/>
  <c r="D28" i="1"/>
  <c r="G28" i="1" s="1"/>
  <c r="H28" i="1"/>
  <c r="I28" i="1" s="1"/>
  <c r="B29" i="1"/>
  <c r="C29" i="1"/>
  <c r="D29" i="1"/>
  <c r="G29" i="1" s="1"/>
  <c r="H29" i="1"/>
  <c r="I29" i="1" s="1"/>
  <c r="B30" i="1"/>
  <c r="C30" i="1"/>
  <c r="D30" i="1"/>
  <c r="G30" i="1" s="1"/>
  <c r="H30" i="1"/>
  <c r="I30" i="1" s="1"/>
  <c r="B31" i="1"/>
  <c r="C31" i="1"/>
  <c r="H31" i="1"/>
  <c r="B32" i="1"/>
  <c r="C32" i="1"/>
  <c r="D32" i="1"/>
  <c r="G32" i="1" s="1"/>
  <c r="H32" i="1"/>
  <c r="B33" i="1"/>
  <c r="C33" i="1"/>
  <c r="H33" i="1"/>
  <c r="B34" i="1"/>
  <c r="C34" i="1"/>
  <c r="D34" i="1"/>
  <c r="G34" i="1" s="1"/>
  <c r="H34" i="1"/>
  <c r="I34" i="1" s="1"/>
  <c r="B35" i="1"/>
  <c r="C35" i="1"/>
  <c r="H35" i="1"/>
  <c r="B36" i="1"/>
  <c r="C36" i="1"/>
  <c r="D36" i="1"/>
  <c r="G36" i="1" s="1"/>
  <c r="H36" i="1"/>
  <c r="D37" i="1"/>
  <c r="G37" i="1" s="1"/>
  <c r="I37" i="1" s="1"/>
  <c r="D38" i="1"/>
  <c r="G38" i="1"/>
  <c r="I38" i="1" s="1"/>
  <c r="D39" i="1"/>
  <c r="G39" i="1"/>
  <c r="I39" i="1"/>
  <c r="G40" i="1"/>
  <c r="I40" i="1"/>
  <c r="G41" i="1"/>
  <c r="I41" i="1"/>
  <c r="G42" i="1"/>
  <c r="I42" i="1"/>
  <c r="G43" i="1"/>
  <c r="G44" i="1"/>
  <c r="G46" i="1"/>
  <c r="I46" i="1"/>
  <c r="D47" i="1"/>
  <c r="G47" i="1"/>
  <c r="I47" i="1"/>
  <c r="D48" i="1"/>
  <c r="G48" i="1"/>
  <c r="I48" i="1"/>
  <c r="D49" i="1"/>
  <c r="G49" i="1"/>
  <c r="I49" i="1"/>
  <c r="D50" i="1"/>
  <c r="G50" i="1"/>
  <c r="I50" i="1"/>
  <c r="D51" i="1"/>
  <c r="G51" i="1"/>
  <c r="I51" i="1"/>
  <c r="D54" i="1"/>
  <c r="G54" i="1"/>
  <c r="D55" i="1"/>
  <c r="G55" i="1"/>
  <c r="D56" i="1"/>
  <c r="G56" i="1"/>
  <c r="D57" i="1"/>
  <c r="G57" i="1"/>
  <c r="D58" i="1"/>
  <c r="G58" i="1"/>
  <c r="D6" i="2"/>
  <c r="G6" i="2" s="1"/>
  <c r="D7" i="2"/>
  <c r="G7" i="2"/>
  <c r="I7" i="2" s="1"/>
  <c r="E11" i="2"/>
  <c r="G13" i="2"/>
  <c r="I13" i="2"/>
  <c r="G14" i="2"/>
  <c r="I14" i="2"/>
  <c r="D14" i="1" s="1"/>
  <c r="G14" i="1" s="1"/>
  <c r="I15" i="2"/>
  <c r="D9" i="1" s="1"/>
  <c r="G9" i="1" s="1"/>
  <c r="I9" i="1" s="1"/>
  <c r="G16" i="2"/>
  <c r="I16" i="2"/>
  <c r="G17" i="2"/>
  <c r="I17" i="2"/>
  <c r="G18" i="2"/>
  <c r="I18" i="2"/>
  <c r="D17" i="1" s="1"/>
  <c r="G17" i="1" s="1"/>
  <c r="G19" i="2"/>
  <c r="I19" i="2"/>
  <c r="G20" i="2"/>
  <c r="I20" i="2"/>
  <c r="G21" i="2"/>
  <c r="I21" i="2"/>
  <c r="G22" i="2"/>
  <c r="I22" i="2"/>
  <c r="G23" i="2"/>
  <c r="I23" i="2"/>
  <c r="G24" i="2"/>
  <c r="I24" i="2"/>
  <c r="G25" i="2"/>
  <c r="I25" i="2"/>
  <c r="D10" i="1" s="1"/>
  <c r="G10" i="1" s="1"/>
  <c r="I10" i="1" s="1"/>
  <c r="G26" i="2"/>
  <c r="I26" i="2"/>
  <c r="G27" i="2"/>
  <c r="I27" i="2"/>
  <c r="G28" i="2"/>
  <c r="I28" i="2"/>
  <c r="G29" i="2"/>
  <c r="I29" i="2"/>
  <c r="G30" i="2"/>
  <c r="I30" i="2"/>
  <c r="G31" i="2"/>
  <c r="I31" i="2"/>
  <c r="G32" i="2"/>
  <c r="I32" i="2"/>
  <c r="G33" i="2"/>
  <c r="I33" i="2"/>
  <c r="G34" i="2"/>
  <c r="I34" i="2"/>
  <c r="G35" i="2"/>
  <c r="I35" i="2"/>
  <c r="G36" i="2"/>
  <c r="I36" i="2"/>
  <c r="G37" i="2"/>
  <c r="I37" i="2"/>
  <c r="G38" i="2"/>
  <c r="I38" i="2"/>
  <c r="G39" i="2"/>
  <c r="I39" i="2"/>
  <c r="G40" i="2"/>
  <c r="I40" i="2"/>
  <c r="G41" i="2"/>
  <c r="I41" i="2"/>
  <c r="G42" i="2"/>
  <c r="I42" i="2"/>
  <c r="G43" i="2"/>
  <c r="I43" i="2"/>
  <c r="G44" i="2"/>
  <c r="I44" i="2"/>
  <c r="G45" i="2"/>
  <c r="I45" i="2"/>
  <c r="I46" i="2"/>
  <c r="E9" i="2" s="1"/>
  <c r="G47" i="2"/>
  <c r="I47" i="2"/>
  <c r="D31" i="1" s="1"/>
  <c r="G31" i="1" s="1"/>
  <c r="G48" i="2"/>
  <c r="I48" i="2"/>
  <c r="G49" i="2"/>
  <c r="I49" i="2"/>
  <c r="D33" i="1" s="1"/>
  <c r="G33" i="1" s="1"/>
  <c r="G50" i="2"/>
  <c r="I50" i="2"/>
  <c r="G51" i="2"/>
  <c r="I51" i="2"/>
  <c r="D35" i="1" s="1"/>
  <c r="G35" i="1" s="1"/>
  <c r="G52" i="2"/>
  <c r="I52" i="2"/>
  <c r="G56" i="2"/>
  <c r="I56" i="2"/>
  <c r="G57" i="2"/>
  <c r="I57" i="2"/>
  <c r="G58" i="2"/>
  <c r="I58" i="2"/>
  <c r="D60" i="2"/>
  <c r="G60" i="2"/>
  <c r="I60" i="2" s="1"/>
  <c r="D61" i="2"/>
  <c r="G61" i="2" s="1"/>
  <c r="I61" i="2" s="1"/>
  <c r="D62" i="2"/>
  <c r="G62" i="2"/>
  <c r="I62" i="2" s="1"/>
  <c r="D63" i="2"/>
  <c r="G63" i="2" s="1"/>
  <c r="I63" i="2" s="1"/>
  <c r="D64" i="2"/>
  <c r="G64" i="2"/>
  <c r="I64" i="2" s="1"/>
  <c r="D65" i="2"/>
  <c r="G65" i="2" s="1"/>
  <c r="I65" i="2" s="1"/>
  <c r="D66" i="2"/>
  <c r="D68" i="2"/>
  <c r="G68" i="2" s="1"/>
  <c r="D69" i="2"/>
  <c r="G69" i="2" s="1"/>
  <c r="D70" i="2"/>
  <c r="G70" i="2" s="1"/>
  <c r="D71" i="2"/>
  <c r="G71" i="2" s="1"/>
  <c r="D72" i="2"/>
  <c r="G72" i="2" s="1"/>
  <c r="D73" i="2"/>
  <c r="G73" i="2" s="1"/>
  <c r="I36" i="1" l="1"/>
  <c r="I35" i="1"/>
  <c r="I16" i="1"/>
  <c r="I15" i="1"/>
  <c r="I33" i="1"/>
  <c r="I14" i="1"/>
  <c r="I6" i="2"/>
  <c r="D55" i="2"/>
  <c r="G55" i="2" s="1"/>
  <c r="I55" i="2" s="1"/>
  <c r="D54" i="2"/>
  <c r="G54" i="2" s="1"/>
  <c r="I54" i="2" s="1"/>
  <c r="I32" i="1"/>
  <c r="I31" i="1"/>
  <c r="I13" i="1"/>
  <c r="E10" i="2"/>
  <c r="D8" i="1"/>
  <c r="G8" i="1" s="1"/>
  <c r="I8" i="1" s="1"/>
</calcChain>
</file>

<file path=xl/sharedStrings.xml><?xml version="1.0" encoding="utf-8"?>
<sst xmlns="http://schemas.openxmlformats.org/spreadsheetml/2006/main" count="283" uniqueCount="135">
  <si>
    <r>
      <t xml:space="preserve"> </t>
    </r>
    <r>
      <rPr>
        <sz val="10"/>
        <rFont val="宋体"/>
        <family val="3"/>
        <charset val="134"/>
      </rPr>
      <t>附件1</t>
    </r>
    <r>
      <rPr>
        <sz val="14"/>
        <rFont val="宋体"/>
        <family val="3"/>
        <charset val="134"/>
      </rPr>
      <t xml:space="preserve">             济源太行裴苑-鑫源220千伏线路工程电气部分材料表（220kV）</t>
    </r>
  </si>
  <si>
    <t>序号</t>
  </si>
  <si>
    <t>材料名称</t>
  </si>
  <si>
    <t>规格和型号</t>
  </si>
  <si>
    <t>数量</t>
  </si>
  <si>
    <t>单位</t>
  </si>
  <si>
    <t>损耗</t>
  </si>
  <si>
    <t>总数量</t>
  </si>
  <si>
    <t>单重</t>
  </si>
  <si>
    <t>总重</t>
  </si>
  <si>
    <t>(%)</t>
  </si>
  <si>
    <t>（kg）</t>
  </si>
  <si>
    <t>一</t>
  </si>
  <si>
    <t>导地线</t>
  </si>
  <si>
    <t>导线</t>
  </si>
  <si>
    <t>JL/G1A-630/45</t>
  </si>
  <si>
    <t>千米</t>
  </si>
  <si>
    <t>OPGW</t>
  </si>
  <si>
    <t>48芯OPGW-150</t>
  </si>
  <si>
    <t>二</t>
  </si>
  <si>
    <t>绝缘子</t>
  </si>
  <si>
    <t>复合绝缘子</t>
  </si>
  <si>
    <t>FXBW-220/100</t>
  </si>
  <si>
    <t>支</t>
  </si>
  <si>
    <r>
      <t>FXBW-22</t>
    </r>
    <r>
      <rPr>
        <sz val="10"/>
        <rFont val="宋体"/>
        <family val="3"/>
        <charset val="134"/>
      </rPr>
      <t>0/1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0</t>
    </r>
  </si>
  <si>
    <t>瓷复合绝缘子</t>
  </si>
  <si>
    <t>FXBW-220/210</t>
  </si>
  <si>
    <t>三</t>
  </si>
  <si>
    <t>金具</t>
  </si>
  <si>
    <t>个</t>
  </si>
  <si>
    <t>米</t>
  </si>
  <si>
    <t>片</t>
  </si>
  <si>
    <t>延长杆</t>
  </si>
  <si>
    <t>YL-1066</t>
  </si>
  <si>
    <t>导线接续管</t>
  </si>
  <si>
    <t>JYD-630/45</t>
  </si>
  <si>
    <t>导线补修管</t>
  </si>
  <si>
    <t>JX-630</t>
  </si>
  <si>
    <t>导线防振锤</t>
  </si>
  <si>
    <r>
      <t>FRYJ</t>
    </r>
    <r>
      <rPr>
        <sz val="10"/>
        <rFont val="宋体"/>
        <family val="3"/>
        <charset val="134"/>
      </rPr>
      <t>-4/</t>
    </r>
    <r>
      <rPr>
        <sz val="10"/>
        <rFont val="宋体"/>
        <family val="3"/>
        <charset val="134"/>
      </rPr>
      <t>6</t>
    </r>
  </si>
  <si>
    <t>导线间隔棒</t>
  </si>
  <si>
    <t>FJZ-250/34</t>
  </si>
  <si>
    <t>跳线间隔棒</t>
  </si>
  <si>
    <t>FJG-230/34</t>
  </si>
  <si>
    <t>相间间隔棒</t>
  </si>
  <si>
    <t>FXJW/220/100</t>
  </si>
  <si>
    <t>试验用耐张线夹</t>
  </si>
  <si>
    <r>
      <t>NY-630/35</t>
    </r>
    <r>
      <rPr>
        <sz val="10"/>
        <rFont val="宋体"/>
        <family val="3"/>
        <charset val="134"/>
      </rPr>
      <t>A</t>
    </r>
  </si>
  <si>
    <t>套</t>
  </si>
  <si>
    <t>四</t>
  </si>
  <si>
    <t>接地材料</t>
  </si>
  <si>
    <t>接地圆钢</t>
  </si>
  <si>
    <t>φ12</t>
  </si>
  <si>
    <t>镀锌圆钢</t>
  </si>
  <si>
    <t>螺栓</t>
  </si>
  <si>
    <t>M16×45</t>
  </si>
  <si>
    <t>螺母</t>
  </si>
  <si>
    <t>M-16</t>
  </si>
  <si>
    <t>弹簧垫圈</t>
  </si>
  <si>
    <t>16mm</t>
  </si>
  <si>
    <t>扁铁</t>
  </si>
  <si>
    <t>-4×40×195</t>
  </si>
  <si>
    <t>块</t>
  </si>
  <si>
    <t>接地模块</t>
  </si>
  <si>
    <t>石墨</t>
  </si>
  <si>
    <t>五</t>
  </si>
  <si>
    <t>其它</t>
  </si>
  <si>
    <t>相序牌</t>
  </si>
  <si>
    <t>杆号牌</t>
  </si>
  <si>
    <t>警示牌</t>
  </si>
  <si>
    <t>禁止类警示牌</t>
  </si>
  <si>
    <t>防鸟刺+挡板</t>
  </si>
  <si>
    <t>济源太行裴苑-鑫源220千伏线路工程电气部分材料表（220kV）(N4-T16)</t>
  </si>
  <si>
    <t>类别</t>
  </si>
  <si>
    <t>名称</t>
  </si>
  <si>
    <t>型号</t>
  </si>
  <si>
    <t>质量</t>
  </si>
  <si>
    <t>串数</t>
  </si>
  <si>
    <t>总计</t>
  </si>
  <si>
    <t>单件</t>
  </si>
  <si>
    <t>一、导地线</t>
  </si>
  <si>
    <t>OPGW-48B1-150</t>
  </si>
  <si>
    <t>二、绝缘子</t>
  </si>
  <si>
    <t>FXBW-220/160</t>
  </si>
  <si>
    <t>三、金具</t>
  </si>
  <si>
    <t>2XP11CL-5000-16P(H)-1A水平双分裂导线160KN盘型悬式（复合）绝缘子单联I型悬垂串,（预绞式悬垂线夹511页）</t>
  </si>
  <si>
    <t>ZBS挂板</t>
  </si>
  <si>
    <t>ZBS-16/21-100</t>
  </si>
  <si>
    <t>球头挂环</t>
  </si>
  <si>
    <t>QP-1660</t>
  </si>
  <si>
    <t>碗头挂板</t>
  </si>
  <si>
    <t>WS-1695</t>
  </si>
  <si>
    <t>联板</t>
  </si>
  <si>
    <t>L-16-100/500</t>
  </si>
  <si>
    <t>预绞式悬垂线夹</t>
  </si>
  <si>
    <t>XG-8054</t>
  </si>
  <si>
    <t>2NP21Y-5050-21P(H)水平双分裂导线210KN盘形悬式（复合）绝缘子双联单挂点耐张串,（耐张线夹710页）</t>
  </si>
  <si>
    <t>U型挂环</t>
  </si>
  <si>
    <t>U-50150</t>
  </si>
  <si>
    <t>延长环</t>
  </si>
  <si>
    <t>PH-42160</t>
  </si>
  <si>
    <t>U-42140</t>
  </si>
  <si>
    <t>L-42-150/500</t>
  </si>
  <si>
    <t>直角挂板</t>
  </si>
  <si>
    <t>Z-21100</t>
  </si>
  <si>
    <t>QP-2180</t>
  </si>
  <si>
    <t>WS-21100</t>
  </si>
  <si>
    <t>LF-12-150/500</t>
  </si>
  <si>
    <t>调整板</t>
  </si>
  <si>
    <t>DB-21120-180</t>
  </si>
  <si>
    <t>U-21100</t>
  </si>
  <si>
    <t>耐张线夹</t>
  </si>
  <si>
    <t>NY-630/45A</t>
  </si>
  <si>
    <t>L-12-150/500</t>
  </si>
  <si>
    <t>YL-2165</t>
  </si>
  <si>
    <t>2TP-30-10H(P)Z 双导线100KN复合（盘形悬式）绝缘子直跳跳线串,（XTS线夹726页）</t>
  </si>
  <si>
    <t>UB挂板</t>
  </si>
  <si>
    <t>UB-1080</t>
  </si>
  <si>
    <t>QP-1050</t>
  </si>
  <si>
    <t>W-1085</t>
  </si>
  <si>
    <t>悬垂线夹</t>
  </si>
  <si>
    <t>XTS-6040</t>
  </si>
  <si>
    <t>导线包缠物</t>
  </si>
  <si>
    <t>1×10</t>
  </si>
  <si>
    <t>平行挂板</t>
  </si>
  <si>
    <t>PS-0790</t>
  </si>
  <si>
    <t>重锤座</t>
  </si>
  <si>
    <t>FZJ-15</t>
  </si>
  <si>
    <t>重锤片</t>
  </si>
  <si>
    <t>FZC-15Y</t>
  </si>
  <si>
    <t>三、其他</t>
  </si>
  <si>
    <t>FRYJ-4/6</t>
  </si>
  <si>
    <t>防空警示灯</t>
  </si>
  <si>
    <t>单价</t>
    <phoneticPr fontId="4" type="noConversion"/>
  </si>
  <si>
    <t>合价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</si>
</sst>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_ "/>
    <numFmt numFmtId="178" formatCode="0.0%"/>
    <numFmt numFmtId="179" formatCode="0.00_);[Red]\(0.00\)"/>
    <numFmt numFmtId="180" formatCode="0.0_ "/>
  </numFmts>
  <fonts count="7" x14ac:knownFonts="1">
    <font>
      <sz val="12"/>
      <name val="宋体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等线"/>
      <family val="3"/>
      <charset val="134"/>
    </font>
    <font>
      <b/>
      <sz val="12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9" fontId="1" fillId="0" borderId="8" xfId="0" applyNumberFormat="1" applyFont="1" applyFill="1" applyBorder="1" applyAlignment="1">
      <alignment horizontal="center" vertical="center" wrapText="1"/>
    </xf>
    <xf numFmtId="177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9" defaultRowHeight="14.25" x14ac:dyDescent="0.1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E6" sqref="E6"/>
    </sheetView>
  </sheetViews>
  <sheetFormatPr defaultColWidth="9" defaultRowHeight="14.25" x14ac:dyDescent="0.1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9" defaultRowHeight="14.25" x14ac:dyDescent="0.15"/>
  <sheetData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9" defaultRowHeight="14.25" x14ac:dyDescent="0.15"/>
  <sheetData/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39" workbookViewId="0">
      <selection activeCell="J13" sqref="J13"/>
    </sheetView>
  </sheetViews>
  <sheetFormatPr defaultRowHeight="17.100000000000001" customHeight="1" x14ac:dyDescent="0.15"/>
  <cols>
    <col min="1" max="1" width="4.625" style="1" customWidth="1"/>
    <col min="2" max="2" width="17" style="1" customWidth="1"/>
    <col min="3" max="3" width="19.25" style="1" customWidth="1"/>
    <col min="4" max="4" width="8.5" style="1" customWidth="1"/>
    <col min="5" max="5" width="6.75" style="1" customWidth="1"/>
    <col min="6" max="6" width="7.75" style="1" customWidth="1"/>
    <col min="7" max="7" width="12" style="1" customWidth="1"/>
    <col min="8" max="8" width="13.25" style="1" customWidth="1"/>
    <col min="9" max="9" width="15.75" style="1" customWidth="1"/>
    <col min="10" max="10" width="9" style="1"/>
    <col min="11" max="11" width="7.75" style="1" customWidth="1"/>
    <col min="12" max="12" width="42.875" style="1" customWidth="1"/>
    <col min="13" max="16384" width="9" style="1"/>
  </cols>
  <sheetData>
    <row r="1" spans="1:9" ht="26.25" customHeight="1" x14ac:dyDescent="0.15">
      <c r="A1" s="28" t="s">
        <v>0</v>
      </c>
      <c r="B1" s="29"/>
      <c r="C1" s="29"/>
      <c r="D1" s="29"/>
      <c r="E1" s="29"/>
      <c r="F1" s="29"/>
      <c r="G1" s="29"/>
      <c r="H1" s="29"/>
      <c r="I1" s="30"/>
    </row>
    <row r="2" spans="1:9" ht="17.100000000000001" customHeight="1" x14ac:dyDescent="0.15">
      <c r="A2" s="32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2" t="s">
        <v>6</v>
      </c>
      <c r="G2" s="32" t="s">
        <v>7</v>
      </c>
      <c r="H2" s="2" t="s">
        <v>8</v>
      </c>
      <c r="I2" s="2" t="s">
        <v>9</v>
      </c>
    </row>
    <row r="3" spans="1:9" ht="12" x14ac:dyDescent="0.15">
      <c r="A3" s="32"/>
      <c r="B3" s="32"/>
      <c r="C3" s="32"/>
      <c r="D3" s="32"/>
      <c r="E3" s="32"/>
      <c r="F3" s="2" t="s">
        <v>10</v>
      </c>
      <c r="G3" s="32"/>
      <c r="H3" s="2" t="s">
        <v>11</v>
      </c>
      <c r="I3" s="2" t="s">
        <v>11</v>
      </c>
    </row>
    <row r="4" spans="1:9" ht="17.100000000000001" customHeight="1" x14ac:dyDescent="0.15">
      <c r="A4" s="2" t="s">
        <v>12</v>
      </c>
      <c r="B4" s="3" t="s">
        <v>13</v>
      </c>
      <c r="C4" s="2"/>
      <c r="D4" s="2"/>
      <c r="E4" s="2"/>
      <c r="F4" s="2"/>
      <c r="G4" s="2"/>
      <c r="H4" s="2"/>
      <c r="I4" s="2"/>
    </row>
    <row r="5" spans="1:9" ht="17.100000000000001" customHeight="1" x14ac:dyDescent="0.15">
      <c r="A5" s="4">
        <v>1</v>
      </c>
      <c r="B5" s="4" t="s">
        <v>14</v>
      </c>
      <c r="C5" s="4" t="s">
        <v>15</v>
      </c>
      <c r="D5" s="5">
        <f>(6.432*3*2*2)*1.04</f>
        <v>80.271360000000001</v>
      </c>
      <c r="E5" s="4" t="s">
        <v>16</v>
      </c>
      <c r="F5" s="6">
        <v>8.0000000000000002E-3</v>
      </c>
      <c r="G5" s="7">
        <f>D5*(1+F5)</f>
        <v>80.913530879999996</v>
      </c>
      <c r="H5" s="4">
        <v>2079.1999999999998</v>
      </c>
      <c r="I5" s="5">
        <f>G5*H5</f>
        <v>168235.41340569599</v>
      </c>
    </row>
    <row r="6" spans="1:9" ht="17.100000000000001" customHeight="1" x14ac:dyDescent="0.15">
      <c r="A6" s="4">
        <v>2</v>
      </c>
      <c r="B6" s="4" t="s">
        <v>17</v>
      </c>
      <c r="C6" s="4" t="s">
        <v>18</v>
      </c>
      <c r="D6" s="5">
        <f>(6.432*2)*1.1</f>
        <v>14.150400000000001</v>
      </c>
      <c r="E6" s="4" t="s">
        <v>16</v>
      </c>
      <c r="F6" s="8">
        <v>0.04</v>
      </c>
      <c r="G6" s="5">
        <f>D6*(1+F6)</f>
        <v>14.716416000000002</v>
      </c>
      <c r="H6" s="4">
        <v>1055</v>
      </c>
      <c r="I6" s="5">
        <f>G6*H6</f>
        <v>15525.818880000003</v>
      </c>
    </row>
    <row r="7" spans="1:9" ht="17.100000000000001" customHeight="1" x14ac:dyDescent="0.15">
      <c r="A7" s="2" t="s">
        <v>19</v>
      </c>
      <c r="B7" s="3" t="s">
        <v>20</v>
      </c>
      <c r="C7" s="2"/>
      <c r="D7" s="2"/>
      <c r="E7" s="2"/>
      <c r="F7" s="9"/>
      <c r="G7" s="2"/>
      <c r="H7" s="2"/>
      <c r="I7" s="23"/>
    </row>
    <row r="8" spans="1:9" ht="17.100000000000001" customHeight="1" x14ac:dyDescent="0.15">
      <c r="A8" s="2">
        <v>1</v>
      </c>
      <c r="B8" s="2" t="s">
        <v>21</v>
      </c>
      <c r="C8" s="2" t="s">
        <v>22</v>
      </c>
      <c r="D8" s="2">
        <f>SUMIF(材料表!$D$13:$D$52,C8,材料表!$I$13:$I$52)</f>
        <v>57</v>
      </c>
      <c r="E8" s="2" t="s">
        <v>23</v>
      </c>
      <c r="F8" s="9">
        <v>0.02</v>
      </c>
      <c r="G8" s="10">
        <f>D8*(1+F8)</f>
        <v>58.14</v>
      </c>
      <c r="H8" s="11">
        <v>12</v>
      </c>
      <c r="I8" s="23">
        <f>G8*H8</f>
        <v>697.68000000000006</v>
      </c>
    </row>
    <row r="9" spans="1:9" ht="17.100000000000001" customHeight="1" x14ac:dyDescent="0.15">
      <c r="A9" s="2">
        <v>2</v>
      </c>
      <c r="B9" s="2" t="s">
        <v>21</v>
      </c>
      <c r="C9" s="2" t="s">
        <v>24</v>
      </c>
      <c r="D9" s="2">
        <f>SUMIF(材料表!$D$13:$D$52,C9,材料表!$I$13:$I$52)</f>
        <v>96</v>
      </c>
      <c r="E9" s="2" t="s">
        <v>23</v>
      </c>
      <c r="F9" s="9">
        <v>0.02</v>
      </c>
      <c r="G9" s="10">
        <f>D9*(1+F9)</f>
        <v>97.92</v>
      </c>
      <c r="H9" s="11">
        <v>15</v>
      </c>
      <c r="I9" s="23">
        <f>G9*H9</f>
        <v>1468.8</v>
      </c>
    </row>
    <row r="10" spans="1:9" ht="17.100000000000001" customHeight="1" x14ac:dyDescent="0.15">
      <c r="A10" s="2">
        <v>3</v>
      </c>
      <c r="B10" s="2" t="s">
        <v>25</v>
      </c>
      <c r="C10" s="2" t="s">
        <v>26</v>
      </c>
      <c r="D10" s="2">
        <f>SUMIF(材料表!$D$13:$D$52,C10,材料表!$I$13:$I$52)</f>
        <v>336</v>
      </c>
      <c r="E10" s="2" t="s">
        <v>23</v>
      </c>
      <c r="F10" s="9">
        <v>0.02</v>
      </c>
      <c r="G10" s="10">
        <f>D10*(1+F10)</f>
        <v>342.72</v>
      </c>
      <c r="H10" s="11">
        <v>10</v>
      </c>
      <c r="I10" s="23">
        <f>G10*H10</f>
        <v>3427.2000000000003</v>
      </c>
    </row>
    <row r="11" spans="1:9" ht="17.100000000000001" hidden="1" customHeight="1" x14ac:dyDescent="0.15">
      <c r="A11" s="2"/>
      <c r="B11" s="2"/>
      <c r="C11" s="2" t="s">
        <v>26</v>
      </c>
      <c r="D11" s="2"/>
      <c r="E11" s="2"/>
      <c r="F11" s="9"/>
      <c r="G11" s="10"/>
      <c r="H11" s="11"/>
      <c r="I11" s="23"/>
    </row>
    <row r="12" spans="1:9" ht="17.100000000000001" customHeight="1" x14ac:dyDescent="0.15">
      <c r="A12" s="2" t="s">
        <v>27</v>
      </c>
      <c r="B12" s="3" t="s">
        <v>28</v>
      </c>
      <c r="C12" s="2"/>
      <c r="D12" s="2"/>
      <c r="E12" s="2"/>
      <c r="F12" s="2"/>
      <c r="G12" s="10"/>
      <c r="H12" s="2"/>
      <c r="I12" s="23"/>
    </row>
    <row r="13" spans="1:9" ht="17.100000000000001" customHeight="1" x14ac:dyDescent="0.15">
      <c r="A13" s="2">
        <v>1</v>
      </c>
      <c r="B13" s="12" t="str">
        <f>材料表!C13</f>
        <v>ZBS挂板</v>
      </c>
      <c r="C13" s="13" t="str">
        <f>材料表!D13</f>
        <v>ZBS-16/21-100</v>
      </c>
      <c r="D13" s="2">
        <f>SUMIF(材料表!$D$13:$D$52,C13,材料表!$I$13:$I$52)</f>
        <v>96</v>
      </c>
      <c r="E13" s="2" t="s">
        <v>29</v>
      </c>
      <c r="F13" s="9">
        <v>0.01</v>
      </c>
      <c r="G13" s="10">
        <f t="shared" ref="G13:G44" si="0">D13*(1+F13)</f>
        <v>96.960000000000008</v>
      </c>
      <c r="H13" s="2">
        <f>材料表!F13</f>
        <v>4</v>
      </c>
      <c r="I13" s="23">
        <f t="shared" ref="I13:I42" si="1">H13*G13</f>
        <v>387.84000000000003</v>
      </c>
    </row>
    <row r="14" spans="1:9" ht="17.100000000000001" customHeight="1" x14ac:dyDescent="0.15">
      <c r="A14" s="2">
        <v>2</v>
      </c>
      <c r="B14" s="12" t="str">
        <f>材料表!C14</f>
        <v>球头挂环</v>
      </c>
      <c r="C14" s="13" t="str">
        <f>材料表!D14</f>
        <v>QP-1660</v>
      </c>
      <c r="D14" s="2">
        <f>SUMIF(材料表!$D$13:$D$52,C14,材料表!$I$13:$I$52)</f>
        <v>96</v>
      </c>
      <c r="E14" s="2" t="s">
        <v>29</v>
      </c>
      <c r="F14" s="9">
        <v>0.01</v>
      </c>
      <c r="G14" s="10">
        <f t="shared" si="0"/>
        <v>96.960000000000008</v>
      </c>
      <c r="H14" s="2">
        <f>材料表!F14</f>
        <v>0.5</v>
      </c>
      <c r="I14" s="23">
        <f t="shared" si="1"/>
        <v>48.480000000000004</v>
      </c>
    </row>
    <row r="15" spans="1:9" ht="17.100000000000001" customHeight="1" x14ac:dyDescent="0.15">
      <c r="A15" s="2">
        <v>3</v>
      </c>
      <c r="B15" s="12" t="str">
        <f>材料表!C16</f>
        <v>碗头挂板</v>
      </c>
      <c r="C15" s="13" t="str">
        <f>材料表!D16</f>
        <v>WS-1695</v>
      </c>
      <c r="D15" s="2">
        <f>SUMIF(材料表!$D$13:$D$52,C15,材料表!$I$13:$I$52)</f>
        <v>96</v>
      </c>
      <c r="E15" s="2" t="s">
        <v>29</v>
      </c>
      <c r="F15" s="9">
        <v>0.01</v>
      </c>
      <c r="G15" s="10">
        <f t="shared" si="0"/>
        <v>96.960000000000008</v>
      </c>
      <c r="H15" s="2">
        <f>材料表!F16</f>
        <v>2.6</v>
      </c>
      <c r="I15" s="23">
        <f t="shared" si="1"/>
        <v>252.09600000000003</v>
      </c>
    </row>
    <row r="16" spans="1:9" ht="17.100000000000001" customHeight="1" x14ac:dyDescent="0.15">
      <c r="A16" s="2">
        <v>4</v>
      </c>
      <c r="B16" s="12" t="str">
        <f>材料表!C17</f>
        <v>联板</v>
      </c>
      <c r="C16" s="13" t="str">
        <f>材料表!D17</f>
        <v>L-16-100/500</v>
      </c>
      <c r="D16" s="2">
        <f>SUMIF(材料表!$D$13:$D$52,C16,材料表!$I$13:$I$52)</f>
        <v>96</v>
      </c>
      <c r="E16" s="2" t="s">
        <v>29</v>
      </c>
      <c r="F16" s="9">
        <v>0.01</v>
      </c>
      <c r="G16" s="10">
        <f t="shared" si="0"/>
        <v>96.960000000000008</v>
      </c>
      <c r="H16" s="2">
        <f>材料表!F17</f>
        <v>7.4</v>
      </c>
      <c r="I16" s="23">
        <f t="shared" si="1"/>
        <v>717.50400000000013</v>
      </c>
    </row>
    <row r="17" spans="1:9" ht="17.100000000000001" customHeight="1" x14ac:dyDescent="0.15">
      <c r="A17" s="2">
        <v>5</v>
      </c>
      <c r="B17" s="12" t="str">
        <f>材料表!C18</f>
        <v>预绞式悬垂线夹</v>
      </c>
      <c r="C17" s="13" t="str">
        <f>材料表!D18</f>
        <v>XG-8054</v>
      </c>
      <c r="D17" s="2">
        <f>SUMIF(材料表!$D$13:$D$52,C17,材料表!$I$13:$I$52)</f>
        <v>192</v>
      </c>
      <c r="E17" s="2" t="s">
        <v>29</v>
      </c>
      <c r="F17" s="9">
        <v>0.01</v>
      </c>
      <c r="G17" s="10">
        <f t="shared" si="0"/>
        <v>193.92000000000002</v>
      </c>
      <c r="H17" s="2">
        <f>材料表!F18</f>
        <v>10.1</v>
      </c>
      <c r="I17" s="23">
        <f t="shared" si="1"/>
        <v>1958.5920000000001</v>
      </c>
    </row>
    <row r="18" spans="1:9" ht="17.100000000000001" customHeight="1" x14ac:dyDescent="0.15">
      <c r="A18" s="2">
        <v>6</v>
      </c>
      <c r="B18" s="12" t="str">
        <f>材料表!C19</f>
        <v>U型挂环</v>
      </c>
      <c r="C18" s="13" t="str">
        <f>材料表!D19</f>
        <v>U-50150</v>
      </c>
      <c r="D18" s="2">
        <f>SUMIF(材料表!$D$13:$D$52,C18,材料表!$I$13:$I$52)</f>
        <v>168</v>
      </c>
      <c r="E18" s="2" t="s">
        <v>29</v>
      </c>
      <c r="F18" s="9">
        <v>0.01</v>
      </c>
      <c r="G18" s="10">
        <f t="shared" si="0"/>
        <v>169.68</v>
      </c>
      <c r="H18" s="2">
        <f>材料表!F19</f>
        <v>4.9000000000000004</v>
      </c>
      <c r="I18" s="23">
        <f t="shared" si="1"/>
        <v>831.43200000000013</v>
      </c>
    </row>
    <row r="19" spans="1:9" ht="17.100000000000001" customHeight="1" x14ac:dyDescent="0.15">
      <c r="A19" s="2">
        <v>7</v>
      </c>
      <c r="B19" s="12" t="str">
        <f>材料表!C20</f>
        <v>延长环</v>
      </c>
      <c r="C19" s="13" t="str">
        <f>材料表!D20</f>
        <v>PH-42160</v>
      </c>
      <c r="D19" s="2">
        <f>SUMIF(材料表!$D$13:$D$52,C19,材料表!$I$13:$I$52)</f>
        <v>168</v>
      </c>
      <c r="E19" s="2" t="s">
        <v>29</v>
      </c>
      <c r="F19" s="9">
        <v>0.01</v>
      </c>
      <c r="G19" s="10">
        <f t="shared" si="0"/>
        <v>169.68</v>
      </c>
      <c r="H19" s="2">
        <f>材料表!F20</f>
        <v>3</v>
      </c>
      <c r="I19" s="23">
        <f t="shared" si="1"/>
        <v>509.04</v>
      </c>
    </row>
    <row r="20" spans="1:9" ht="17.100000000000001" customHeight="1" x14ac:dyDescent="0.15">
      <c r="A20" s="2">
        <v>8</v>
      </c>
      <c r="B20" s="12" t="str">
        <f>材料表!C21</f>
        <v>U型挂环</v>
      </c>
      <c r="C20" s="13" t="str">
        <f>材料表!D21</f>
        <v>U-42140</v>
      </c>
      <c r="D20" s="2">
        <f>SUMIF(材料表!$D$13:$D$52,C20,材料表!$I$13:$I$52)</f>
        <v>168</v>
      </c>
      <c r="E20" s="2" t="s">
        <v>29</v>
      </c>
      <c r="F20" s="9">
        <v>0.01</v>
      </c>
      <c r="G20" s="10">
        <f t="shared" si="0"/>
        <v>169.68</v>
      </c>
      <c r="H20" s="2">
        <f>材料表!F21</f>
        <v>4.5</v>
      </c>
      <c r="I20" s="23">
        <f t="shared" si="1"/>
        <v>763.56000000000006</v>
      </c>
    </row>
    <row r="21" spans="1:9" ht="17.100000000000001" customHeight="1" x14ac:dyDescent="0.15">
      <c r="A21" s="2">
        <v>9</v>
      </c>
      <c r="B21" s="12" t="str">
        <f>材料表!C22</f>
        <v>联板</v>
      </c>
      <c r="C21" s="13" t="str">
        <f>材料表!D22</f>
        <v>L-42-150/500</v>
      </c>
      <c r="D21" s="2">
        <f>SUMIF(材料表!$D$13:$D$52,C21,材料表!$I$13:$I$52)</f>
        <v>129</v>
      </c>
      <c r="E21" s="2" t="s">
        <v>29</v>
      </c>
      <c r="F21" s="9">
        <v>0.01</v>
      </c>
      <c r="G21" s="10">
        <f t="shared" si="0"/>
        <v>130.29</v>
      </c>
      <c r="H21" s="2">
        <f>材料表!F22</f>
        <v>12.6</v>
      </c>
      <c r="I21" s="23">
        <f t="shared" si="1"/>
        <v>1641.6539999999998</v>
      </c>
    </row>
    <row r="22" spans="1:9" ht="17.100000000000001" customHeight="1" x14ac:dyDescent="0.15">
      <c r="A22" s="2">
        <v>10</v>
      </c>
      <c r="B22" s="12" t="str">
        <f>材料表!C23</f>
        <v>直角挂板</v>
      </c>
      <c r="C22" s="13" t="str">
        <f>材料表!D23</f>
        <v>Z-21100</v>
      </c>
      <c r="D22" s="2">
        <f>SUMIF(材料表!$D$13:$D$52,C22,材料表!$I$13:$I$52)</f>
        <v>750</v>
      </c>
      <c r="E22" s="2" t="s">
        <v>29</v>
      </c>
      <c r="F22" s="9">
        <v>0.01</v>
      </c>
      <c r="G22" s="10">
        <f t="shared" si="0"/>
        <v>757.5</v>
      </c>
      <c r="H22" s="2">
        <f>材料表!F23</f>
        <v>3.4</v>
      </c>
      <c r="I22" s="23">
        <f t="shared" si="1"/>
        <v>2575.5</v>
      </c>
    </row>
    <row r="23" spans="1:9" ht="17.100000000000001" customHeight="1" x14ac:dyDescent="0.15">
      <c r="A23" s="2">
        <v>11</v>
      </c>
      <c r="B23" s="12" t="str">
        <f>材料表!C24</f>
        <v>球头挂环</v>
      </c>
      <c r="C23" s="13" t="str">
        <f>材料表!D24</f>
        <v>QP-2180</v>
      </c>
      <c r="D23" s="2">
        <f>SUMIF(材料表!$D$13:$D$52,C23,材料表!$I$13:$I$52)</f>
        <v>336</v>
      </c>
      <c r="E23" s="2" t="s">
        <v>29</v>
      </c>
      <c r="F23" s="9">
        <v>0.01</v>
      </c>
      <c r="G23" s="10">
        <f t="shared" si="0"/>
        <v>339.36</v>
      </c>
      <c r="H23" s="2">
        <f>材料表!F24</f>
        <v>0.7</v>
      </c>
      <c r="I23" s="23">
        <f t="shared" si="1"/>
        <v>237.55199999999999</v>
      </c>
    </row>
    <row r="24" spans="1:9" ht="17.100000000000001" customHeight="1" x14ac:dyDescent="0.15">
      <c r="A24" s="2">
        <v>12</v>
      </c>
      <c r="B24" s="12" t="str">
        <f>材料表!C26</f>
        <v>碗头挂板</v>
      </c>
      <c r="C24" s="13" t="str">
        <f>材料表!D26</f>
        <v>WS-21100</v>
      </c>
      <c r="D24" s="2">
        <f>SUMIF(材料表!$D$13:$D$52,C24,材料表!$I$13:$I$52)</f>
        <v>336</v>
      </c>
      <c r="E24" s="2" t="s">
        <v>29</v>
      </c>
      <c r="F24" s="9">
        <v>0.01</v>
      </c>
      <c r="G24" s="10">
        <f t="shared" si="0"/>
        <v>339.36</v>
      </c>
      <c r="H24" s="2">
        <f>材料表!F26</f>
        <v>3.6</v>
      </c>
      <c r="I24" s="23">
        <f t="shared" si="1"/>
        <v>1221.6960000000001</v>
      </c>
    </row>
    <row r="25" spans="1:9" ht="17.100000000000001" customHeight="1" x14ac:dyDescent="0.15">
      <c r="A25" s="2">
        <v>13</v>
      </c>
      <c r="B25" s="12" t="str">
        <f>材料表!C27</f>
        <v>联板</v>
      </c>
      <c r="C25" s="13" t="str">
        <f>材料表!D27</f>
        <v>LF-12-150/500</v>
      </c>
      <c r="D25" s="2">
        <f>SUMIF(材料表!$D$13:$D$52,C25,材料表!$I$13:$I$52)</f>
        <v>168</v>
      </c>
      <c r="E25" s="2" t="s">
        <v>29</v>
      </c>
      <c r="F25" s="9">
        <v>0.01</v>
      </c>
      <c r="G25" s="10">
        <f t="shared" si="0"/>
        <v>169.68</v>
      </c>
      <c r="H25" s="2">
        <f>材料表!F27</f>
        <v>15.8</v>
      </c>
      <c r="I25" s="23">
        <f t="shared" si="1"/>
        <v>2680.9440000000004</v>
      </c>
    </row>
    <row r="26" spans="1:9" ht="17.100000000000001" customHeight="1" x14ac:dyDescent="0.15">
      <c r="A26" s="2">
        <v>14</v>
      </c>
      <c r="B26" s="12" t="str">
        <f>材料表!C28</f>
        <v>调整板</v>
      </c>
      <c r="C26" s="13" t="str">
        <f>材料表!D28</f>
        <v>DB-21120-180</v>
      </c>
      <c r="D26" s="2">
        <f>SUMIF(材料表!$D$13:$D$52,C26,材料表!$I$13:$I$52)</f>
        <v>336</v>
      </c>
      <c r="E26" s="2" t="s">
        <v>29</v>
      </c>
      <c r="F26" s="9">
        <v>0.01</v>
      </c>
      <c r="G26" s="10">
        <f t="shared" si="0"/>
        <v>339.36</v>
      </c>
      <c r="H26" s="2">
        <f>材料表!F28</f>
        <v>6</v>
      </c>
      <c r="I26" s="23">
        <f t="shared" si="1"/>
        <v>2036.16</v>
      </c>
    </row>
    <row r="27" spans="1:9" ht="17.100000000000001" customHeight="1" x14ac:dyDescent="0.15">
      <c r="A27" s="2">
        <v>15</v>
      </c>
      <c r="B27" s="12" t="str">
        <f>材料表!C29</f>
        <v>U型挂环</v>
      </c>
      <c r="C27" s="13" t="str">
        <f>材料表!D29</f>
        <v>U-21100</v>
      </c>
      <c r="D27" s="2">
        <f>SUMIF(材料表!$D$13:$D$52,C27,材料表!$I$13:$I$52)</f>
        <v>336</v>
      </c>
      <c r="E27" s="2" t="s">
        <v>29</v>
      </c>
      <c r="F27" s="9">
        <v>0.01</v>
      </c>
      <c r="G27" s="10">
        <f t="shared" si="0"/>
        <v>339.36</v>
      </c>
      <c r="H27" s="2">
        <f>材料表!F29</f>
        <v>1.8</v>
      </c>
      <c r="I27" s="23">
        <f t="shared" si="1"/>
        <v>610.84800000000007</v>
      </c>
    </row>
    <row r="28" spans="1:9" ht="17.100000000000001" customHeight="1" x14ac:dyDescent="0.15">
      <c r="A28" s="2">
        <v>16</v>
      </c>
      <c r="B28" s="12" t="str">
        <f>材料表!C30</f>
        <v>耐张线夹</v>
      </c>
      <c r="C28" s="13" t="str">
        <f>材料表!D30</f>
        <v>NY-630/45A</v>
      </c>
      <c r="D28" s="2">
        <f>SUMIF(材料表!$D$13:$D$52,C28,材料表!$I$13:$I$52)</f>
        <v>336</v>
      </c>
      <c r="E28" s="2" t="s">
        <v>29</v>
      </c>
      <c r="F28" s="9">
        <v>0.01</v>
      </c>
      <c r="G28" s="10">
        <f t="shared" si="0"/>
        <v>339.36</v>
      </c>
      <c r="H28" s="2">
        <f>材料表!F30</f>
        <v>7.1</v>
      </c>
      <c r="I28" s="23">
        <f t="shared" si="1"/>
        <v>2409.4560000000001</v>
      </c>
    </row>
    <row r="29" spans="1:9" ht="17.100000000000001" customHeight="1" x14ac:dyDescent="0.15">
      <c r="A29" s="2">
        <v>17</v>
      </c>
      <c r="B29" s="12" t="str">
        <f>材料表!C44</f>
        <v>UB挂板</v>
      </c>
      <c r="C29" s="13" t="str">
        <f>材料表!D44</f>
        <v>UB-1080</v>
      </c>
      <c r="D29" s="2">
        <f>SUMIF(材料表!$D$13:$D$52,C29,材料表!$I$13:$I$52)</f>
        <v>57</v>
      </c>
      <c r="E29" s="2" t="s">
        <v>29</v>
      </c>
      <c r="F29" s="9">
        <v>0.01</v>
      </c>
      <c r="G29" s="10">
        <f t="shared" si="0"/>
        <v>57.57</v>
      </c>
      <c r="H29" s="2">
        <f>材料表!F44</f>
        <v>1.1000000000000001</v>
      </c>
      <c r="I29" s="23">
        <f t="shared" si="1"/>
        <v>63.327000000000005</v>
      </c>
    </row>
    <row r="30" spans="1:9" ht="17.100000000000001" customHeight="1" x14ac:dyDescent="0.15">
      <c r="A30" s="2">
        <v>18</v>
      </c>
      <c r="B30" s="12" t="str">
        <f>材料表!C45</f>
        <v>球头挂环</v>
      </c>
      <c r="C30" s="13" t="str">
        <f>材料表!D45</f>
        <v>QP-1050</v>
      </c>
      <c r="D30" s="2">
        <f>SUMIF(材料表!$D$13:$D$52,C30,材料表!$I$13:$I$52)</f>
        <v>57</v>
      </c>
      <c r="E30" s="2" t="s">
        <v>29</v>
      </c>
      <c r="F30" s="9">
        <v>0.01</v>
      </c>
      <c r="G30" s="10">
        <f t="shared" si="0"/>
        <v>57.57</v>
      </c>
      <c r="H30" s="2">
        <f>材料表!F45</f>
        <v>0.3</v>
      </c>
      <c r="I30" s="23">
        <f t="shared" si="1"/>
        <v>17.271000000000001</v>
      </c>
    </row>
    <row r="31" spans="1:9" ht="17.100000000000001" customHeight="1" x14ac:dyDescent="0.15">
      <c r="A31" s="2">
        <v>19</v>
      </c>
      <c r="B31" s="12" t="str">
        <f>材料表!C47</f>
        <v>碗头挂板</v>
      </c>
      <c r="C31" s="13" t="str">
        <f>材料表!D47</f>
        <v>W-1085</v>
      </c>
      <c r="D31" s="2">
        <f>SUMIF(材料表!$D$13:$D$52,C31,材料表!$I$13:$I$52)</f>
        <v>57</v>
      </c>
      <c r="E31" s="2" t="s">
        <v>29</v>
      </c>
      <c r="F31" s="9">
        <v>0.01</v>
      </c>
      <c r="G31" s="10">
        <f t="shared" si="0"/>
        <v>57.57</v>
      </c>
      <c r="H31" s="2">
        <f>材料表!F47</f>
        <v>1.1000000000000001</v>
      </c>
      <c r="I31" s="23">
        <f t="shared" si="1"/>
        <v>63.327000000000005</v>
      </c>
    </row>
    <row r="32" spans="1:9" ht="17.100000000000001" customHeight="1" x14ac:dyDescent="0.15">
      <c r="A32" s="2">
        <v>20</v>
      </c>
      <c r="B32" s="12" t="str">
        <f>材料表!C48</f>
        <v>悬垂线夹</v>
      </c>
      <c r="C32" s="13" t="str">
        <f>材料表!D48</f>
        <v>XTS-6040</v>
      </c>
      <c r="D32" s="2">
        <f>SUMIF(材料表!$D$13:$D$52,C32,材料表!$I$13:$I$52)</f>
        <v>57</v>
      </c>
      <c r="E32" s="2" t="s">
        <v>29</v>
      </c>
      <c r="F32" s="9">
        <v>0.01</v>
      </c>
      <c r="G32" s="10">
        <f t="shared" si="0"/>
        <v>57.57</v>
      </c>
      <c r="H32" s="2">
        <f>材料表!F48</f>
        <v>7.5</v>
      </c>
      <c r="I32" s="23">
        <f t="shared" si="1"/>
        <v>431.77499999999998</v>
      </c>
    </row>
    <row r="33" spans="1:14" ht="17.100000000000001" customHeight="1" x14ac:dyDescent="0.15">
      <c r="A33" s="2">
        <v>21</v>
      </c>
      <c r="B33" s="12" t="str">
        <f>材料表!C49</f>
        <v>导线包缠物</v>
      </c>
      <c r="C33" s="13" t="str">
        <f>材料表!D49</f>
        <v>1×10</v>
      </c>
      <c r="D33" s="2">
        <f>SUMIF(材料表!$D$13:$D$52,C33,材料表!$I$13:$I$52)</f>
        <v>513</v>
      </c>
      <c r="E33" s="2" t="s">
        <v>30</v>
      </c>
      <c r="F33" s="9">
        <v>0.03</v>
      </c>
      <c r="G33" s="10">
        <f t="shared" si="0"/>
        <v>528.39</v>
      </c>
      <c r="H33" s="2">
        <f>材料表!F49</f>
        <v>0.27</v>
      </c>
      <c r="I33" s="23">
        <f t="shared" si="1"/>
        <v>142.6653</v>
      </c>
    </row>
    <row r="34" spans="1:14" ht="17.100000000000001" customHeight="1" x14ac:dyDescent="0.15">
      <c r="A34" s="2">
        <v>22</v>
      </c>
      <c r="B34" s="12" t="str">
        <f>材料表!C50</f>
        <v>平行挂板</v>
      </c>
      <c r="C34" s="13" t="str">
        <f>材料表!D50</f>
        <v>PS-0790</v>
      </c>
      <c r="D34" s="2">
        <f>SUMIF(材料表!$D$13:$D$52,C34,材料表!$I$13:$I$52)</f>
        <v>57</v>
      </c>
      <c r="E34" s="2" t="s">
        <v>29</v>
      </c>
      <c r="F34" s="9">
        <v>0.01</v>
      </c>
      <c r="G34" s="10">
        <f t="shared" si="0"/>
        <v>57.57</v>
      </c>
      <c r="H34" s="2">
        <f>材料表!F50</f>
        <v>0.6</v>
      </c>
      <c r="I34" s="23">
        <f t="shared" si="1"/>
        <v>34.542000000000002</v>
      </c>
    </row>
    <row r="35" spans="1:14" ht="17.100000000000001" customHeight="1" x14ac:dyDescent="0.15">
      <c r="A35" s="2">
        <v>23</v>
      </c>
      <c r="B35" s="12" t="str">
        <f>材料表!C51</f>
        <v>重锤座</v>
      </c>
      <c r="C35" s="13" t="str">
        <f>材料表!D51</f>
        <v>FZJ-15</v>
      </c>
      <c r="D35" s="2">
        <f>SUMIF(材料表!$D$13:$D$52,C35,材料表!$I$13:$I$52)</f>
        <v>57</v>
      </c>
      <c r="E35" s="2" t="s">
        <v>29</v>
      </c>
      <c r="F35" s="9">
        <v>0.01</v>
      </c>
      <c r="G35" s="10">
        <f t="shared" si="0"/>
        <v>57.57</v>
      </c>
      <c r="H35" s="2">
        <f>材料表!F51</f>
        <v>1.5</v>
      </c>
      <c r="I35" s="23">
        <f t="shared" si="1"/>
        <v>86.355000000000004</v>
      </c>
    </row>
    <row r="36" spans="1:14" ht="17.100000000000001" customHeight="1" x14ac:dyDescent="0.15">
      <c r="A36" s="2">
        <v>24</v>
      </c>
      <c r="B36" s="12" t="str">
        <f>材料表!C52</f>
        <v>重锤片</v>
      </c>
      <c r="C36" s="13" t="str">
        <f>材料表!D52</f>
        <v>FZC-15Y</v>
      </c>
      <c r="D36" s="2">
        <f>SUMIF(材料表!$D$13:$D$52,C36,材料表!$I$13:$I$52)</f>
        <v>171</v>
      </c>
      <c r="E36" s="2" t="s">
        <v>31</v>
      </c>
      <c r="F36" s="9">
        <v>0.02</v>
      </c>
      <c r="G36" s="10">
        <f t="shared" si="0"/>
        <v>174.42000000000002</v>
      </c>
      <c r="H36" s="2">
        <f>材料表!F52</f>
        <v>15</v>
      </c>
      <c r="I36" s="23">
        <f t="shared" si="1"/>
        <v>2616.3000000000002</v>
      </c>
    </row>
    <row r="37" spans="1:14" ht="17.100000000000001" customHeight="1" x14ac:dyDescent="0.15">
      <c r="A37" s="2">
        <v>32</v>
      </c>
      <c r="B37" s="12" t="s">
        <v>32</v>
      </c>
      <c r="C37" s="13" t="s">
        <v>33</v>
      </c>
      <c r="D37" s="2">
        <f>SUMIF(材料表!$D$13:$D$52,C37,材料表!$I$13:$I$52)</f>
        <v>0</v>
      </c>
      <c r="E37" s="2" t="s">
        <v>29</v>
      </c>
      <c r="F37" s="9">
        <v>0.01</v>
      </c>
      <c r="G37" s="10">
        <f t="shared" si="0"/>
        <v>0</v>
      </c>
      <c r="H37" s="2">
        <v>12</v>
      </c>
      <c r="I37" s="23">
        <f t="shared" si="1"/>
        <v>0</v>
      </c>
    </row>
    <row r="38" spans="1:14" ht="17.100000000000001" customHeight="1" x14ac:dyDescent="0.15">
      <c r="A38" s="2">
        <v>34</v>
      </c>
      <c r="B38" s="13" t="s">
        <v>34</v>
      </c>
      <c r="C38" s="2" t="s">
        <v>35</v>
      </c>
      <c r="D38" s="10">
        <f>G5/2+6</f>
        <v>46.456765439999998</v>
      </c>
      <c r="E38" s="2" t="s">
        <v>29</v>
      </c>
      <c r="F38" s="9">
        <v>0.02</v>
      </c>
      <c r="G38" s="10">
        <f t="shared" si="0"/>
        <v>47.385900748799997</v>
      </c>
      <c r="H38" s="11">
        <v>4.3</v>
      </c>
      <c r="I38" s="23">
        <f t="shared" si="1"/>
        <v>203.75937321983997</v>
      </c>
    </row>
    <row r="39" spans="1:14" ht="17.100000000000001" customHeight="1" x14ac:dyDescent="0.15">
      <c r="A39" s="2">
        <v>36</v>
      </c>
      <c r="B39" s="13" t="s">
        <v>36</v>
      </c>
      <c r="C39" s="2" t="s">
        <v>37</v>
      </c>
      <c r="D39" s="10">
        <f>G5/5</f>
        <v>16.182706176</v>
      </c>
      <c r="E39" s="2" t="s">
        <v>29</v>
      </c>
      <c r="F39" s="9">
        <v>0.02</v>
      </c>
      <c r="G39" s="10">
        <f t="shared" si="0"/>
        <v>16.506360299520001</v>
      </c>
      <c r="H39" s="11">
        <v>1.7</v>
      </c>
      <c r="I39" s="23">
        <f t="shared" si="1"/>
        <v>28.060812509184</v>
      </c>
    </row>
    <row r="40" spans="1:14" ht="16.5" customHeight="1" x14ac:dyDescent="0.15">
      <c r="A40" s="2">
        <v>38</v>
      </c>
      <c r="B40" s="13" t="s">
        <v>38</v>
      </c>
      <c r="C40" s="2" t="s">
        <v>39</v>
      </c>
      <c r="D40" s="2">
        <v>288</v>
      </c>
      <c r="E40" s="2" t="s">
        <v>29</v>
      </c>
      <c r="F40" s="9">
        <v>0.02</v>
      </c>
      <c r="G40" s="10">
        <f t="shared" si="0"/>
        <v>293.76</v>
      </c>
      <c r="H40" s="11">
        <v>6.9</v>
      </c>
      <c r="I40" s="23">
        <f t="shared" si="1"/>
        <v>2026.944</v>
      </c>
      <c r="M40" s="31"/>
      <c r="N40" s="31"/>
    </row>
    <row r="41" spans="1:14" ht="16.5" customHeight="1" x14ac:dyDescent="0.15">
      <c r="A41" s="2">
        <v>40</v>
      </c>
      <c r="B41" s="13" t="s">
        <v>40</v>
      </c>
      <c r="C41" s="2" t="s">
        <v>41</v>
      </c>
      <c r="D41" s="2">
        <v>360</v>
      </c>
      <c r="E41" s="2" t="s">
        <v>29</v>
      </c>
      <c r="F41" s="9">
        <v>0.02</v>
      </c>
      <c r="G41" s="10">
        <f t="shared" si="0"/>
        <v>367.2</v>
      </c>
      <c r="H41" s="11">
        <v>4.3</v>
      </c>
      <c r="I41" s="23">
        <f t="shared" si="1"/>
        <v>1578.9599999999998</v>
      </c>
    </row>
    <row r="42" spans="1:14" ht="15.75" customHeight="1" x14ac:dyDescent="0.15">
      <c r="A42" s="2">
        <v>41</v>
      </c>
      <c r="B42" s="13" t="s">
        <v>42</v>
      </c>
      <c r="C42" s="2" t="s">
        <v>43</v>
      </c>
      <c r="D42" s="2">
        <v>165</v>
      </c>
      <c r="E42" s="2" t="s">
        <v>29</v>
      </c>
      <c r="F42" s="9">
        <v>0.02</v>
      </c>
      <c r="G42" s="10">
        <f t="shared" si="0"/>
        <v>168.3</v>
      </c>
      <c r="H42" s="11">
        <v>1.9</v>
      </c>
      <c r="I42" s="23">
        <f t="shared" si="1"/>
        <v>319.77</v>
      </c>
    </row>
    <row r="43" spans="1:14" ht="15.75" customHeight="1" x14ac:dyDescent="0.15">
      <c r="A43" s="2">
        <v>42</v>
      </c>
      <c r="B43" s="13" t="s">
        <v>44</v>
      </c>
      <c r="C43" s="2" t="s">
        <v>45</v>
      </c>
      <c r="D43" s="2">
        <v>15</v>
      </c>
      <c r="E43" s="2" t="s">
        <v>23</v>
      </c>
      <c r="F43" s="9">
        <v>0.02</v>
      </c>
      <c r="G43" s="10">
        <f t="shared" si="0"/>
        <v>15.3</v>
      </c>
      <c r="H43" s="11"/>
      <c r="I43" s="23"/>
    </row>
    <row r="44" spans="1:14" ht="15.75" customHeight="1" x14ac:dyDescent="0.15">
      <c r="A44" s="2">
        <v>43</v>
      </c>
      <c r="B44" s="13" t="s">
        <v>46</v>
      </c>
      <c r="C44" s="2" t="s">
        <v>47</v>
      </c>
      <c r="D44" s="2">
        <v>6</v>
      </c>
      <c r="E44" s="2" t="s">
        <v>48</v>
      </c>
      <c r="F44" s="9"/>
      <c r="G44" s="10">
        <f t="shared" si="0"/>
        <v>6</v>
      </c>
      <c r="H44" s="11">
        <v>7.1</v>
      </c>
      <c r="I44" s="23"/>
    </row>
    <row r="45" spans="1:14" ht="15.75" customHeight="1" x14ac:dyDescent="0.15">
      <c r="A45" s="14" t="s">
        <v>49</v>
      </c>
      <c r="B45" s="15" t="s">
        <v>50</v>
      </c>
      <c r="C45" s="14"/>
      <c r="D45" s="14"/>
      <c r="E45" s="14"/>
      <c r="F45" s="14"/>
      <c r="G45" s="14"/>
      <c r="H45" s="14"/>
      <c r="I45" s="24"/>
    </row>
    <row r="46" spans="1:14" ht="15.75" customHeight="1" x14ac:dyDescent="0.15">
      <c r="A46" s="16">
        <v>1</v>
      </c>
      <c r="B46" s="17" t="s">
        <v>51</v>
      </c>
      <c r="C46" s="17" t="s">
        <v>52</v>
      </c>
      <c r="D46" s="18">
        <v>270</v>
      </c>
      <c r="E46" s="18" t="s">
        <v>30</v>
      </c>
      <c r="F46" s="19">
        <v>0.03</v>
      </c>
      <c r="G46" s="20">
        <f t="shared" ref="G46:G51" si="2">D46*(1+F46)</f>
        <v>278.10000000000002</v>
      </c>
      <c r="H46" s="18">
        <v>0.89</v>
      </c>
      <c r="I46" s="25">
        <f t="shared" ref="I46:I51" si="3">H46*G46</f>
        <v>247.50900000000001</v>
      </c>
    </row>
    <row r="47" spans="1:14" ht="15.75" customHeight="1" x14ac:dyDescent="0.15">
      <c r="A47" s="21">
        <v>2</v>
      </c>
      <c r="B47" s="13" t="s">
        <v>53</v>
      </c>
      <c r="C47" s="13" t="s">
        <v>52</v>
      </c>
      <c r="D47" s="2">
        <f>27*80</f>
        <v>2160</v>
      </c>
      <c r="E47" s="2" t="s">
        <v>30</v>
      </c>
      <c r="F47" s="9">
        <v>0.03</v>
      </c>
      <c r="G47" s="10">
        <f t="shared" si="2"/>
        <v>2224.8000000000002</v>
      </c>
      <c r="H47" s="2">
        <v>0.89</v>
      </c>
      <c r="I47" s="26">
        <f t="shared" si="3"/>
        <v>1980.0720000000001</v>
      </c>
    </row>
    <row r="48" spans="1:14" ht="17.100000000000001" customHeight="1" x14ac:dyDescent="0.15">
      <c r="A48" s="21">
        <v>3</v>
      </c>
      <c r="B48" s="13" t="s">
        <v>54</v>
      </c>
      <c r="C48" s="13" t="s">
        <v>55</v>
      </c>
      <c r="D48" s="2">
        <f>27*8</f>
        <v>216</v>
      </c>
      <c r="E48" s="2" t="s">
        <v>29</v>
      </c>
      <c r="F48" s="9">
        <v>0.03</v>
      </c>
      <c r="G48" s="10">
        <f t="shared" si="2"/>
        <v>222.48000000000002</v>
      </c>
      <c r="H48" s="2">
        <v>9.9000000000000005E-2</v>
      </c>
      <c r="I48" s="26">
        <f t="shared" si="3"/>
        <v>22.025520000000004</v>
      </c>
    </row>
    <row r="49" spans="1:9" ht="17.100000000000001" customHeight="1" x14ac:dyDescent="0.15">
      <c r="A49" s="21">
        <v>4</v>
      </c>
      <c r="B49" s="13" t="s">
        <v>56</v>
      </c>
      <c r="C49" s="13" t="s">
        <v>57</v>
      </c>
      <c r="D49" s="2">
        <f>27*8</f>
        <v>216</v>
      </c>
      <c r="E49" s="2" t="s">
        <v>29</v>
      </c>
      <c r="F49" s="9">
        <v>0.03</v>
      </c>
      <c r="G49" s="10">
        <f t="shared" si="2"/>
        <v>222.48000000000002</v>
      </c>
      <c r="H49" s="2">
        <v>3.4000000000000002E-2</v>
      </c>
      <c r="I49" s="26">
        <f t="shared" si="3"/>
        <v>7.5643200000000013</v>
      </c>
    </row>
    <row r="50" spans="1:9" ht="17.100000000000001" customHeight="1" x14ac:dyDescent="0.15">
      <c r="A50" s="21">
        <v>5</v>
      </c>
      <c r="B50" s="13" t="s">
        <v>58</v>
      </c>
      <c r="C50" s="13" t="s">
        <v>59</v>
      </c>
      <c r="D50" s="2">
        <f>27*8</f>
        <v>216</v>
      </c>
      <c r="E50" s="2" t="s">
        <v>29</v>
      </c>
      <c r="F50" s="9">
        <v>0.03</v>
      </c>
      <c r="G50" s="10">
        <f t="shared" si="2"/>
        <v>222.48000000000002</v>
      </c>
      <c r="H50" s="2">
        <v>8.0000000000000002E-3</v>
      </c>
      <c r="I50" s="26">
        <f t="shared" si="3"/>
        <v>1.7798400000000001</v>
      </c>
    </row>
    <row r="51" spans="1:9" ht="17.100000000000001" customHeight="1" x14ac:dyDescent="0.15">
      <c r="A51" s="21">
        <v>6</v>
      </c>
      <c r="B51" s="13" t="s">
        <v>60</v>
      </c>
      <c r="C51" s="13" t="s">
        <v>61</v>
      </c>
      <c r="D51" s="2">
        <f>27*4</f>
        <v>108</v>
      </c>
      <c r="E51" s="2" t="s">
        <v>62</v>
      </c>
      <c r="F51" s="9">
        <v>0.03</v>
      </c>
      <c r="G51" s="10">
        <f t="shared" si="2"/>
        <v>111.24000000000001</v>
      </c>
      <c r="H51" s="2">
        <v>0.25</v>
      </c>
      <c r="I51" s="26">
        <f t="shared" si="3"/>
        <v>27.810000000000002</v>
      </c>
    </row>
    <row r="52" spans="1:9" ht="17.100000000000001" customHeight="1" x14ac:dyDescent="0.15">
      <c r="A52" s="21">
        <v>7</v>
      </c>
      <c r="B52" s="13" t="s">
        <v>63</v>
      </c>
      <c r="C52" s="13" t="s">
        <v>64</v>
      </c>
      <c r="D52" s="2">
        <v>216</v>
      </c>
      <c r="E52" s="2" t="s">
        <v>62</v>
      </c>
      <c r="F52" s="9"/>
      <c r="G52" s="10"/>
      <c r="H52" s="2"/>
      <c r="I52" s="26"/>
    </row>
    <row r="53" spans="1:9" ht="17.100000000000001" customHeight="1" x14ac:dyDescent="0.15">
      <c r="A53" s="22" t="s">
        <v>65</v>
      </c>
      <c r="B53" s="3" t="s">
        <v>66</v>
      </c>
      <c r="C53" s="2"/>
      <c r="D53" s="2"/>
      <c r="E53" s="2"/>
      <c r="F53" s="2"/>
      <c r="G53" s="2"/>
      <c r="H53" s="2"/>
      <c r="I53" s="27"/>
    </row>
    <row r="54" spans="1:9" ht="17.100000000000001" customHeight="1" x14ac:dyDescent="0.15">
      <c r="A54" s="22">
        <v>1</v>
      </c>
      <c r="B54" s="2" t="s">
        <v>67</v>
      </c>
      <c r="C54" s="2"/>
      <c r="D54" s="2">
        <f>14*6</f>
        <v>84</v>
      </c>
      <c r="E54" s="2" t="s">
        <v>62</v>
      </c>
      <c r="F54" s="2"/>
      <c r="G54" s="2">
        <f>D54</f>
        <v>84</v>
      </c>
      <c r="H54" s="2"/>
      <c r="I54" s="27"/>
    </row>
    <row r="55" spans="1:9" ht="17.100000000000001" customHeight="1" x14ac:dyDescent="0.15">
      <c r="A55" s="22">
        <v>2</v>
      </c>
      <c r="B55" s="2" t="s">
        <v>68</v>
      </c>
      <c r="C55" s="2"/>
      <c r="D55" s="2">
        <f>27*2</f>
        <v>54</v>
      </c>
      <c r="E55" s="2" t="s">
        <v>62</v>
      </c>
      <c r="F55" s="2"/>
      <c r="G55" s="2">
        <f>D55</f>
        <v>54</v>
      </c>
      <c r="H55" s="2"/>
      <c r="I55" s="27"/>
    </row>
    <row r="56" spans="1:9" ht="17.100000000000001" customHeight="1" x14ac:dyDescent="0.15">
      <c r="A56" s="22">
        <v>3</v>
      </c>
      <c r="B56" s="2" t="s">
        <v>69</v>
      </c>
      <c r="C56" s="2"/>
      <c r="D56" s="2">
        <f>27*2</f>
        <v>54</v>
      </c>
      <c r="E56" s="2" t="s">
        <v>62</v>
      </c>
      <c r="F56" s="2"/>
      <c r="G56" s="2">
        <f>D56</f>
        <v>54</v>
      </c>
      <c r="H56" s="2"/>
      <c r="I56" s="27"/>
    </row>
    <row r="57" spans="1:9" ht="17.100000000000001" customHeight="1" x14ac:dyDescent="0.15">
      <c r="A57" s="22">
        <v>4</v>
      </c>
      <c r="B57" s="2" t="s">
        <v>70</v>
      </c>
      <c r="C57" s="2"/>
      <c r="D57" s="2">
        <f>27*2</f>
        <v>54</v>
      </c>
      <c r="E57" s="2" t="s">
        <v>62</v>
      </c>
      <c r="F57" s="2"/>
      <c r="G57" s="2">
        <f>D57</f>
        <v>54</v>
      </c>
      <c r="H57" s="2"/>
      <c r="I57" s="27"/>
    </row>
    <row r="58" spans="1:9" ht="17.100000000000001" customHeight="1" x14ac:dyDescent="0.15">
      <c r="A58" s="22">
        <v>6</v>
      </c>
      <c r="B58" s="2" t="s">
        <v>71</v>
      </c>
      <c r="C58" s="2"/>
      <c r="D58" s="2">
        <f>27*18</f>
        <v>486</v>
      </c>
      <c r="E58" s="2" t="s">
        <v>48</v>
      </c>
      <c r="F58" s="2"/>
      <c r="G58" s="2">
        <f>D58</f>
        <v>486</v>
      </c>
      <c r="H58" s="2"/>
      <c r="I58" s="27"/>
    </row>
  </sheetData>
  <autoFilter ref="C2:C58"/>
  <mergeCells count="8">
    <mergeCell ref="A1:I1"/>
    <mergeCell ref="M40:N40"/>
    <mergeCell ref="A2:A3"/>
    <mergeCell ref="B2:B3"/>
    <mergeCell ref="C2:C3"/>
    <mergeCell ref="D2:D3"/>
    <mergeCell ref="E2:E3"/>
    <mergeCell ref="G2:G3"/>
  </mergeCells>
  <phoneticPr fontId="4" type="noConversion"/>
  <printOptions horizontalCentered="1"/>
  <pageMargins left="0.94" right="0.94" top="0.98" bottom="0.98" header="0.51" footer="0.51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73"/>
  <sheetViews>
    <sheetView showGridLines="0" tabSelected="1" zoomScale="85" zoomScaleNormal="85" workbookViewId="0">
      <pane ySplit="4" topLeftCell="A5" activePane="bottomLeft" state="frozenSplit"/>
      <selection pane="bottomLeft" activeCell="N21" sqref="N21"/>
    </sheetView>
  </sheetViews>
  <sheetFormatPr defaultRowHeight="21" customHeight="1" x14ac:dyDescent="0.15"/>
  <cols>
    <col min="1" max="1" width="12" style="33" customWidth="1"/>
    <col min="2" max="2" width="14.625" style="52" customWidth="1"/>
    <col min="3" max="3" width="20.375" style="33" customWidth="1"/>
    <col min="4" max="4" width="15.875" style="35" customWidth="1"/>
    <col min="5" max="5" width="10.5" style="33" customWidth="1"/>
    <col min="6" max="6" width="12.125" style="53" customWidth="1"/>
    <col min="7" max="7" width="15.5" style="53" customWidth="1"/>
    <col min="8" max="8" width="10.625" style="54" customWidth="1"/>
    <col min="9" max="10" width="13.5" style="33" customWidth="1"/>
    <col min="11" max="11" width="16.25" style="53" customWidth="1"/>
    <col min="12" max="16384" width="9" style="33"/>
  </cols>
  <sheetData>
    <row r="1" spans="1:11" ht="21" customHeight="1" x14ac:dyDescent="0.15">
      <c r="A1" s="38" t="s">
        <v>72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1" customHeight="1" x14ac:dyDescent="0.1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21" customHeight="1" x14ac:dyDescent="0.15">
      <c r="A3" s="56" t="s">
        <v>73</v>
      </c>
      <c r="B3" s="56"/>
      <c r="C3" s="56" t="s">
        <v>74</v>
      </c>
      <c r="D3" s="56" t="s">
        <v>75</v>
      </c>
      <c r="E3" s="57" t="s">
        <v>4</v>
      </c>
      <c r="F3" s="58" t="s">
        <v>76</v>
      </c>
      <c r="G3" s="58"/>
      <c r="H3" s="56" t="s">
        <v>77</v>
      </c>
      <c r="I3" s="56" t="s">
        <v>78</v>
      </c>
      <c r="J3" s="60" t="s">
        <v>133</v>
      </c>
      <c r="K3" s="61" t="s">
        <v>134</v>
      </c>
    </row>
    <row r="4" spans="1:11" ht="21" customHeight="1" x14ac:dyDescent="0.15">
      <c r="A4" s="56"/>
      <c r="B4" s="56"/>
      <c r="C4" s="56"/>
      <c r="D4" s="56"/>
      <c r="E4" s="57"/>
      <c r="F4" s="59" t="s">
        <v>79</v>
      </c>
      <c r="G4" s="59" t="s">
        <v>78</v>
      </c>
      <c r="H4" s="56"/>
      <c r="I4" s="56"/>
      <c r="J4" s="60"/>
      <c r="K4" s="61"/>
    </row>
    <row r="5" spans="1:11" ht="21" customHeight="1" x14ac:dyDescent="0.15">
      <c r="A5" s="41" t="s">
        <v>80</v>
      </c>
      <c r="B5" s="42"/>
      <c r="C5" s="43"/>
      <c r="D5" s="43"/>
      <c r="E5" s="44"/>
      <c r="F5" s="40"/>
      <c r="G5" s="40"/>
      <c r="H5" s="43"/>
      <c r="I5" s="43"/>
      <c r="J5" s="62"/>
      <c r="K5" s="63"/>
    </row>
    <row r="6" spans="1:11" ht="21" customHeight="1" x14ac:dyDescent="0.15">
      <c r="A6" s="45" t="s">
        <v>14</v>
      </c>
      <c r="B6" s="45"/>
      <c r="C6" s="37" t="s">
        <v>15</v>
      </c>
      <c r="D6" s="37">
        <f>(6.432*3*2*2)*1.04</f>
        <v>80.271360000000001</v>
      </c>
      <c r="E6" s="37" t="s">
        <v>16</v>
      </c>
      <c r="F6" s="37">
        <v>8.0000000000000002E-3</v>
      </c>
      <c r="G6" s="46">
        <f>D6*(1+F6)</f>
        <v>80.913530879999996</v>
      </c>
      <c r="H6" s="37">
        <v>2.0792000000000002</v>
      </c>
      <c r="I6" s="37">
        <f>G6*H6</f>
        <v>168.23541340569599</v>
      </c>
      <c r="J6" s="62"/>
      <c r="K6" s="63"/>
    </row>
    <row r="7" spans="1:11" ht="21" customHeight="1" x14ac:dyDescent="0.15">
      <c r="A7" s="45" t="s">
        <v>17</v>
      </c>
      <c r="B7" s="45"/>
      <c r="C7" s="37" t="s">
        <v>81</v>
      </c>
      <c r="D7" s="37">
        <f>(6.432*2)*1.1</f>
        <v>14.150400000000001</v>
      </c>
      <c r="E7" s="37" t="s">
        <v>16</v>
      </c>
      <c r="F7" s="37">
        <v>4.0000000000000001E-3</v>
      </c>
      <c r="G7" s="46">
        <f>D7*(1+F7)</f>
        <v>14.207001600000002</v>
      </c>
      <c r="H7" s="37">
        <v>1055</v>
      </c>
      <c r="I7" s="37">
        <f>G7*H7</f>
        <v>14988.386688000002</v>
      </c>
      <c r="J7" s="62"/>
      <c r="K7" s="63"/>
    </row>
    <row r="8" spans="1:11" ht="21" customHeight="1" x14ac:dyDescent="0.15">
      <c r="A8" s="47" t="s">
        <v>82</v>
      </c>
      <c r="B8" s="48"/>
      <c r="C8" s="37"/>
      <c r="D8" s="37"/>
      <c r="E8" s="37"/>
      <c r="F8" s="37"/>
      <c r="G8" s="46"/>
      <c r="H8" s="37"/>
      <c r="I8" s="37"/>
      <c r="J8" s="62"/>
      <c r="K8" s="63"/>
    </row>
    <row r="9" spans="1:11" ht="21" customHeight="1" x14ac:dyDescent="0.15">
      <c r="A9" s="45" t="s">
        <v>21</v>
      </c>
      <c r="B9" s="45"/>
      <c r="C9" s="37" t="s">
        <v>21</v>
      </c>
      <c r="D9" s="37" t="s">
        <v>22</v>
      </c>
      <c r="E9" s="37">
        <f>I46</f>
        <v>57</v>
      </c>
      <c r="F9" s="37"/>
      <c r="G9" s="46"/>
      <c r="H9" s="37"/>
      <c r="I9" s="37"/>
      <c r="J9" s="62"/>
      <c r="K9" s="63"/>
    </row>
    <row r="10" spans="1:11" ht="21" customHeight="1" x14ac:dyDescent="0.15">
      <c r="A10" s="45"/>
      <c r="B10" s="45"/>
      <c r="C10" s="37" t="s">
        <v>21</v>
      </c>
      <c r="D10" s="37" t="s">
        <v>83</v>
      </c>
      <c r="E10" s="37">
        <f>I15</f>
        <v>96</v>
      </c>
      <c r="F10" s="37"/>
      <c r="G10" s="46"/>
      <c r="H10" s="37"/>
      <c r="I10" s="37"/>
      <c r="J10" s="62"/>
      <c r="K10" s="63"/>
    </row>
    <row r="11" spans="1:11" ht="21" customHeight="1" x14ac:dyDescent="0.15">
      <c r="A11" s="45"/>
      <c r="B11" s="45"/>
      <c r="C11" s="37" t="s">
        <v>21</v>
      </c>
      <c r="D11" s="37" t="s">
        <v>26</v>
      </c>
      <c r="E11" s="37">
        <f>I25+I38</f>
        <v>336</v>
      </c>
      <c r="F11" s="37"/>
      <c r="G11" s="46"/>
      <c r="H11" s="37"/>
      <c r="I11" s="37"/>
      <c r="J11" s="62"/>
      <c r="K11" s="63"/>
    </row>
    <row r="12" spans="1:11" ht="21" customHeight="1" x14ac:dyDescent="0.15">
      <c r="A12" s="41" t="s">
        <v>84</v>
      </c>
      <c r="B12" s="42"/>
      <c r="C12" s="43"/>
      <c r="D12" s="43"/>
      <c r="E12" s="44"/>
      <c r="F12" s="40"/>
      <c r="G12" s="40"/>
      <c r="H12" s="43"/>
      <c r="I12" s="43"/>
      <c r="J12" s="64"/>
      <c r="K12" s="63"/>
    </row>
    <row r="13" spans="1:11" ht="21" customHeight="1" x14ac:dyDescent="0.15">
      <c r="A13" s="34" t="s">
        <v>85</v>
      </c>
      <c r="B13" s="34"/>
      <c r="C13" s="43" t="s">
        <v>86</v>
      </c>
      <c r="D13" s="37" t="s">
        <v>87</v>
      </c>
      <c r="E13" s="49">
        <v>1</v>
      </c>
      <c r="F13" s="46">
        <v>4</v>
      </c>
      <c r="G13" s="46">
        <f>F13*E13</f>
        <v>4</v>
      </c>
      <c r="H13" s="39">
        <v>96</v>
      </c>
      <c r="I13" s="37">
        <f>H13*E13</f>
        <v>96</v>
      </c>
      <c r="J13" s="64"/>
      <c r="K13" s="63"/>
    </row>
    <row r="14" spans="1:11" ht="21" customHeight="1" x14ac:dyDescent="0.15">
      <c r="A14" s="34"/>
      <c r="B14" s="34"/>
      <c r="C14" s="37" t="s">
        <v>88</v>
      </c>
      <c r="D14" s="37" t="s">
        <v>89</v>
      </c>
      <c r="E14" s="49">
        <v>1</v>
      </c>
      <c r="F14" s="46">
        <v>0.5</v>
      </c>
      <c r="G14" s="46">
        <f>F14*E14</f>
        <v>0.5</v>
      </c>
      <c r="H14" s="39"/>
      <c r="I14" s="37">
        <f>H13*E14</f>
        <v>96</v>
      </c>
      <c r="J14" s="64"/>
      <c r="K14" s="63"/>
    </row>
    <row r="15" spans="1:11" ht="21" customHeight="1" x14ac:dyDescent="0.15">
      <c r="A15" s="34"/>
      <c r="B15" s="34"/>
      <c r="C15" s="37" t="s">
        <v>21</v>
      </c>
      <c r="D15" s="37" t="s">
        <v>83</v>
      </c>
      <c r="E15" s="49">
        <v>1</v>
      </c>
      <c r="F15" s="46"/>
      <c r="G15" s="46"/>
      <c r="H15" s="39"/>
      <c r="I15" s="37">
        <f>H13*E15</f>
        <v>96</v>
      </c>
      <c r="J15" s="64"/>
      <c r="K15" s="63"/>
    </row>
    <row r="16" spans="1:11" ht="21" customHeight="1" x14ac:dyDescent="0.15">
      <c r="A16" s="34"/>
      <c r="B16" s="34"/>
      <c r="C16" s="37" t="s">
        <v>90</v>
      </c>
      <c r="D16" s="37" t="s">
        <v>91</v>
      </c>
      <c r="E16" s="49">
        <v>1</v>
      </c>
      <c r="F16" s="46">
        <v>2.6</v>
      </c>
      <c r="G16" s="46">
        <f>F16*E16</f>
        <v>2.6</v>
      </c>
      <c r="H16" s="39"/>
      <c r="I16" s="37">
        <f>H13*E16</f>
        <v>96</v>
      </c>
      <c r="J16" s="64"/>
      <c r="K16" s="63"/>
    </row>
    <row r="17" spans="1:11" ht="21" customHeight="1" x14ac:dyDescent="0.15">
      <c r="A17" s="34"/>
      <c r="B17" s="34"/>
      <c r="C17" s="37" t="s">
        <v>92</v>
      </c>
      <c r="D17" s="37" t="s">
        <v>93</v>
      </c>
      <c r="E17" s="49">
        <v>1</v>
      </c>
      <c r="F17" s="46">
        <v>7.4</v>
      </c>
      <c r="G17" s="46">
        <f>F17*E17</f>
        <v>7.4</v>
      </c>
      <c r="H17" s="39"/>
      <c r="I17" s="37">
        <f>H13*E17</f>
        <v>96</v>
      </c>
      <c r="J17" s="64"/>
      <c r="K17" s="63"/>
    </row>
    <row r="18" spans="1:11" ht="21" customHeight="1" x14ac:dyDescent="0.15">
      <c r="A18" s="34"/>
      <c r="B18" s="34"/>
      <c r="C18" s="37" t="s">
        <v>94</v>
      </c>
      <c r="D18" s="37" t="s">
        <v>95</v>
      </c>
      <c r="E18" s="49">
        <v>2</v>
      </c>
      <c r="F18" s="46">
        <v>10.1</v>
      </c>
      <c r="G18" s="46">
        <f>F18*E18</f>
        <v>20.2</v>
      </c>
      <c r="H18" s="39"/>
      <c r="I18" s="37">
        <f>H13*E18</f>
        <v>192</v>
      </c>
      <c r="J18" s="64"/>
      <c r="K18" s="63"/>
    </row>
    <row r="19" spans="1:11" ht="21" customHeight="1" x14ac:dyDescent="0.15">
      <c r="A19" s="34" t="s">
        <v>96</v>
      </c>
      <c r="B19" s="34"/>
      <c r="C19" s="43" t="s">
        <v>97</v>
      </c>
      <c r="D19" s="37" t="s">
        <v>98</v>
      </c>
      <c r="E19" s="37">
        <v>1</v>
      </c>
      <c r="F19" s="46">
        <v>4.9000000000000004</v>
      </c>
      <c r="G19" s="46">
        <f t="shared" ref="G19:G30" si="0">E19*F19</f>
        <v>4.9000000000000004</v>
      </c>
      <c r="H19" s="50">
        <v>129</v>
      </c>
      <c r="I19" s="37">
        <f>H19*E19</f>
        <v>129</v>
      </c>
      <c r="J19" s="64"/>
      <c r="K19" s="63"/>
    </row>
    <row r="20" spans="1:11" ht="21" customHeight="1" x14ac:dyDescent="0.15">
      <c r="A20" s="34"/>
      <c r="B20" s="34"/>
      <c r="C20" s="37" t="s">
        <v>99</v>
      </c>
      <c r="D20" s="37" t="s">
        <v>100</v>
      </c>
      <c r="E20" s="37">
        <v>1</v>
      </c>
      <c r="F20" s="46">
        <v>3</v>
      </c>
      <c r="G20" s="46">
        <f t="shared" si="0"/>
        <v>3</v>
      </c>
      <c r="H20" s="50"/>
      <c r="I20" s="37">
        <f>H19*E20</f>
        <v>129</v>
      </c>
      <c r="J20" s="64"/>
      <c r="K20" s="63"/>
    </row>
    <row r="21" spans="1:11" ht="21" customHeight="1" x14ac:dyDescent="0.15">
      <c r="A21" s="34"/>
      <c r="B21" s="34"/>
      <c r="C21" s="37" t="s">
        <v>97</v>
      </c>
      <c r="D21" s="37" t="s">
        <v>101</v>
      </c>
      <c r="E21" s="37">
        <v>1</v>
      </c>
      <c r="F21" s="46">
        <v>4.5</v>
      </c>
      <c r="G21" s="46">
        <f t="shared" si="0"/>
        <v>4.5</v>
      </c>
      <c r="H21" s="50"/>
      <c r="I21" s="37">
        <f>H19*E21</f>
        <v>129</v>
      </c>
      <c r="J21" s="64"/>
      <c r="K21" s="63"/>
    </row>
    <row r="22" spans="1:11" ht="21" customHeight="1" x14ac:dyDescent="0.15">
      <c r="A22" s="34"/>
      <c r="B22" s="34"/>
      <c r="C22" s="37" t="s">
        <v>92</v>
      </c>
      <c r="D22" s="37" t="s">
        <v>102</v>
      </c>
      <c r="E22" s="37">
        <v>1</v>
      </c>
      <c r="F22" s="46">
        <v>12.6</v>
      </c>
      <c r="G22" s="46">
        <f t="shared" si="0"/>
        <v>12.6</v>
      </c>
      <c r="H22" s="50"/>
      <c r="I22" s="37">
        <f>H19*E22</f>
        <v>129</v>
      </c>
      <c r="J22" s="64"/>
      <c r="K22" s="63"/>
    </row>
    <row r="23" spans="1:11" ht="21" customHeight="1" x14ac:dyDescent="0.15">
      <c r="A23" s="34"/>
      <c r="B23" s="34"/>
      <c r="C23" s="37" t="s">
        <v>103</v>
      </c>
      <c r="D23" s="37" t="s">
        <v>104</v>
      </c>
      <c r="E23" s="37">
        <v>4</v>
      </c>
      <c r="F23" s="46">
        <v>3.4</v>
      </c>
      <c r="G23" s="46">
        <f t="shared" si="0"/>
        <v>13.6</v>
      </c>
      <c r="H23" s="50"/>
      <c r="I23" s="37">
        <f>H19*E23</f>
        <v>516</v>
      </c>
      <c r="J23" s="64"/>
      <c r="K23" s="63"/>
    </row>
    <row r="24" spans="1:11" ht="21" customHeight="1" x14ac:dyDescent="0.15">
      <c r="A24" s="34"/>
      <c r="B24" s="34"/>
      <c r="C24" s="37" t="s">
        <v>88</v>
      </c>
      <c r="D24" s="37" t="s">
        <v>105</v>
      </c>
      <c r="E24" s="37">
        <v>2</v>
      </c>
      <c r="F24" s="46">
        <v>0.7</v>
      </c>
      <c r="G24" s="46">
        <f t="shared" si="0"/>
        <v>1.4</v>
      </c>
      <c r="H24" s="50"/>
      <c r="I24" s="37">
        <f>H19*E24</f>
        <v>258</v>
      </c>
      <c r="J24" s="64"/>
      <c r="K24" s="63"/>
    </row>
    <row r="25" spans="1:11" ht="21" customHeight="1" x14ac:dyDescent="0.15">
      <c r="A25" s="34"/>
      <c r="B25" s="34"/>
      <c r="C25" s="37" t="s">
        <v>25</v>
      </c>
      <c r="D25" s="37" t="s">
        <v>26</v>
      </c>
      <c r="E25" s="37">
        <v>2</v>
      </c>
      <c r="F25" s="46">
        <v>10</v>
      </c>
      <c r="G25" s="46">
        <f t="shared" si="0"/>
        <v>20</v>
      </c>
      <c r="H25" s="50"/>
      <c r="I25" s="37">
        <f>H19*E25</f>
        <v>258</v>
      </c>
      <c r="J25" s="64"/>
      <c r="K25" s="63"/>
    </row>
    <row r="26" spans="1:11" ht="21" customHeight="1" x14ac:dyDescent="0.15">
      <c r="A26" s="34"/>
      <c r="B26" s="34"/>
      <c r="C26" s="37" t="s">
        <v>90</v>
      </c>
      <c r="D26" s="37" t="s">
        <v>106</v>
      </c>
      <c r="E26" s="37">
        <v>2</v>
      </c>
      <c r="F26" s="46">
        <v>3.6</v>
      </c>
      <c r="G26" s="46">
        <f t="shared" si="0"/>
        <v>7.2</v>
      </c>
      <c r="H26" s="50"/>
      <c r="I26" s="37">
        <f>H19*E26</f>
        <v>258</v>
      </c>
      <c r="J26" s="64"/>
      <c r="K26" s="63"/>
    </row>
    <row r="27" spans="1:11" ht="21" customHeight="1" x14ac:dyDescent="0.15">
      <c r="A27" s="34"/>
      <c r="B27" s="34"/>
      <c r="C27" s="37" t="s">
        <v>92</v>
      </c>
      <c r="D27" s="37" t="s">
        <v>107</v>
      </c>
      <c r="E27" s="37">
        <v>1</v>
      </c>
      <c r="F27" s="46">
        <v>15.8</v>
      </c>
      <c r="G27" s="46">
        <f t="shared" si="0"/>
        <v>15.8</v>
      </c>
      <c r="H27" s="50"/>
      <c r="I27" s="37">
        <f>H19*E27</f>
        <v>129</v>
      </c>
      <c r="J27" s="64"/>
      <c r="K27" s="63"/>
    </row>
    <row r="28" spans="1:11" ht="21" customHeight="1" x14ac:dyDescent="0.15">
      <c r="A28" s="34"/>
      <c r="B28" s="34"/>
      <c r="C28" s="37" t="s">
        <v>108</v>
      </c>
      <c r="D28" s="37" t="s">
        <v>109</v>
      </c>
      <c r="E28" s="37">
        <v>2</v>
      </c>
      <c r="F28" s="46">
        <v>6</v>
      </c>
      <c r="G28" s="46">
        <f t="shared" si="0"/>
        <v>12</v>
      </c>
      <c r="H28" s="50"/>
      <c r="I28" s="37">
        <f>H19*E28</f>
        <v>258</v>
      </c>
      <c r="J28" s="64"/>
      <c r="K28" s="63"/>
    </row>
    <row r="29" spans="1:11" ht="21" customHeight="1" x14ac:dyDescent="0.15">
      <c r="A29" s="34"/>
      <c r="B29" s="34"/>
      <c r="C29" s="37" t="s">
        <v>97</v>
      </c>
      <c r="D29" s="37" t="s">
        <v>110</v>
      </c>
      <c r="E29" s="37">
        <v>2</v>
      </c>
      <c r="F29" s="46">
        <v>1.8</v>
      </c>
      <c r="G29" s="46">
        <f t="shared" si="0"/>
        <v>3.6</v>
      </c>
      <c r="H29" s="50"/>
      <c r="I29" s="37">
        <f>H19*E29</f>
        <v>258</v>
      </c>
      <c r="J29" s="64"/>
      <c r="K29" s="63"/>
    </row>
    <row r="30" spans="1:11" ht="21" customHeight="1" x14ac:dyDescent="0.15">
      <c r="A30" s="34"/>
      <c r="B30" s="34"/>
      <c r="C30" s="37" t="s">
        <v>111</v>
      </c>
      <c r="D30" s="37" t="s">
        <v>112</v>
      </c>
      <c r="E30" s="37">
        <v>2</v>
      </c>
      <c r="F30" s="46">
        <v>7.1</v>
      </c>
      <c r="G30" s="46">
        <f t="shared" si="0"/>
        <v>14.2</v>
      </c>
      <c r="H30" s="50"/>
      <c r="I30" s="37">
        <f>H19*E30</f>
        <v>258</v>
      </c>
      <c r="J30" s="64"/>
      <c r="K30" s="63"/>
    </row>
    <row r="31" spans="1:11" ht="21" customHeight="1" x14ac:dyDescent="0.15">
      <c r="A31" s="34" t="s">
        <v>96</v>
      </c>
      <c r="B31" s="34"/>
      <c r="C31" s="43" t="s">
        <v>97</v>
      </c>
      <c r="D31" s="37" t="s">
        <v>98</v>
      </c>
      <c r="E31" s="37">
        <v>1</v>
      </c>
      <c r="F31" s="46">
        <v>4.9000000000000004</v>
      </c>
      <c r="G31" s="46">
        <f t="shared" ref="G31:G45" si="1">E31*F31</f>
        <v>4.9000000000000004</v>
      </c>
      <c r="H31" s="50">
        <v>39</v>
      </c>
      <c r="I31" s="37">
        <f>H31*E31</f>
        <v>39</v>
      </c>
      <c r="J31" s="64"/>
      <c r="K31" s="63"/>
    </row>
    <row r="32" spans="1:11" ht="21" customHeight="1" x14ac:dyDescent="0.15">
      <c r="A32" s="34"/>
      <c r="B32" s="34"/>
      <c r="C32" s="37" t="s">
        <v>99</v>
      </c>
      <c r="D32" s="37" t="s">
        <v>100</v>
      </c>
      <c r="E32" s="37">
        <v>1</v>
      </c>
      <c r="F32" s="46">
        <v>3</v>
      </c>
      <c r="G32" s="46">
        <f t="shared" si="1"/>
        <v>3</v>
      </c>
      <c r="H32" s="50"/>
      <c r="I32" s="37">
        <f>H31*E32</f>
        <v>39</v>
      </c>
      <c r="J32" s="64"/>
      <c r="K32" s="63"/>
    </row>
    <row r="33" spans="1:11" ht="21" customHeight="1" x14ac:dyDescent="0.15">
      <c r="A33" s="34"/>
      <c r="B33" s="34"/>
      <c r="C33" s="37" t="s">
        <v>97</v>
      </c>
      <c r="D33" s="37" t="s">
        <v>101</v>
      </c>
      <c r="E33" s="37">
        <v>1</v>
      </c>
      <c r="F33" s="46">
        <v>4.5</v>
      </c>
      <c r="G33" s="46">
        <f t="shared" si="1"/>
        <v>4.5</v>
      </c>
      <c r="H33" s="50"/>
      <c r="I33" s="37">
        <f>H31*E33</f>
        <v>39</v>
      </c>
      <c r="J33" s="64"/>
      <c r="K33" s="63"/>
    </row>
    <row r="34" spans="1:11" ht="21" customHeight="1" x14ac:dyDescent="0.15">
      <c r="A34" s="34"/>
      <c r="B34" s="34"/>
      <c r="C34" s="37" t="s">
        <v>92</v>
      </c>
      <c r="D34" s="37" t="s">
        <v>113</v>
      </c>
      <c r="E34" s="37">
        <v>1</v>
      </c>
      <c r="F34" s="46">
        <v>12.6</v>
      </c>
      <c r="G34" s="46">
        <f t="shared" si="1"/>
        <v>12.6</v>
      </c>
      <c r="H34" s="50"/>
      <c r="I34" s="37">
        <f>H31*E34</f>
        <v>39</v>
      </c>
      <c r="J34" s="64"/>
      <c r="K34" s="63"/>
    </row>
    <row r="35" spans="1:11" ht="21" customHeight="1" x14ac:dyDescent="0.15">
      <c r="A35" s="34"/>
      <c r="B35" s="34"/>
      <c r="C35" s="37" t="s">
        <v>103</v>
      </c>
      <c r="D35" s="37" t="s">
        <v>104</v>
      </c>
      <c r="E35" s="37">
        <v>6</v>
      </c>
      <c r="F35" s="46">
        <v>3.4</v>
      </c>
      <c r="G35" s="46">
        <f t="shared" si="1"/>
        <v>20.399999999999999</v>
      </c>
      <c r="H35" s="50"/>
      <c r="I35" s="37">
        <f>$H$31*E35</f>
        <v>234</v>
      </c>
      <c r="J35" s="64"/>
      <c r="K35" s="63"/>
    </row>
    <row r="36" spans="1:11" ht="21" customHeight="1" x14ac:dyDescent="0.15">
      <c r="A36" s="34"/>
      <c r="B36" s="34"/>
      <c r="C36" s="37" t="s">
        <v>32</v>
      </c>
      <c r="D36" s="37" t="s">
        <v>114</v>
      </c>
      <c r="E36" s="37">
        <v>2</v>
      </c>
      <c r="F36" s="46">
        <v>4.5</v>
      </c>
      <c r="G36" s="46">
        <f t="shared" si="1"/>
        <v>9</v>
      </c>
      <c r="H36" s="50"/>
      <c r="I36" s="37">
        <f>$H$31*E36</f>
        <v>78</v>
      </c>
      <c r="J36" s="64"/>
      <c r="K36" s="63"/>
    </row>
    <row r="37" spans="1:11" ht="21" customHeight="1" x14ac:dyDescent="0.15">
      <c r="A37" s="34"/>
      <c r="B37" s="34"/>
      <c r="C37" s="37" t="s">
        <v>88</v>
      </c>
      <c r="D37" s="37" t="s">
        <v>105</v>
      </c>
      <c r="E37" s="37">
        <v>2</v>
      </c>
      <c r="F37" s="46">
        <v>0.7</v>
      </c>
      <c r="G37" s="46">
        <f t="shared" si="1"/>
        <v>1.4</v>
      </c>
      <c r="H37" s="50"/>
      <c r="I37" s="37">
        <f>H31*E37</f>
        <v>78</v>
      </c>
      <c r="J37" s="64"/>
      <c r="K37" s="63"/>
    </row>
    <row r="38" spans="1:11" ht="21" customHeight="1" x14ac:dyDescent="0.15">
      <c r="A38" s="34"/>
      <c r="B38" s="34"/>
      <c r="C38" s="37" t="s">
        <v>25</v>
      </c>
      <c r="D38" s="37" t="s">
        <v>26</v>
      </c>
      <c r="E38" s="37">
        <v>2</v>
      </c>
      <c r="F38" s="46">
        <v>10</v>
      </c>
      <c r="G38" s="46">
        <f t="shared" si="1"/>
        <v>20</v>
      </c>
      <c r="H38" s="50"/>
      <c r="I38" s="37">
        <f>H31*E38</f>
        <v>78</v>
      </c>
      <c r="J38" s="64"/>
      <c r="K38" s="63"/>
    </row>
    <row r="39" spans="1:11" ht="21" customHeight="1" x14ac:dyDescent="0.15">
      <c r="A39" s="34"/>
      <c r="B39" s="34"/>
      <c r="C39" s="37" t="s">
        <v>90</v>
      </c>
      <c r="D39" s="37" t="s">
        <v>106</v>
      </c>
      <c r="E39" s="37">
        <v>2</v>
      </c>
      <c r="F39" s="46">
        <v>3.6</v>
      </c>
      <c r="G39" s="46">
        <f t="shared" si="1"/>
        <v>7.2</v>
      </c>
      <c r="H39" s="50"/>
      <c r="I39" s="37">
        <f>H31*E39</f>
        <v>78</v>
      </c>
      <c r="J39" s="64"/>
      <c r="K39" s="63"/>
    </row>
    <row r="40" spans="1:11" ht="21" customHeight="1" x14ac:dyDescent="0.15">
      <c r="A40" s="34"/>
      <c r="B40" s="34"/>
      <c r="C40" s="37" t="s">
        <v>92</v>
      </c>
      <c r="D40" s="37" t="s">
        <v>107</v>
      </c>
      <c r="E40" s="37">
        <v>1</v>
      </c>
      <c r="F40" s="46">
        <v>15.8</v>
      </c>
      <c r="G40" s="46">
        <f t="shared" si="1"/>
        <v>15.8</v>
      </c>
      <c r="H40" s="50"/>
      <c r="I40" s="37">
        <f>H31*E40</f>
        <v>39</v>
      </c>
      <c r="J40" s="64"/>
      <c r="K40" s="63"/>
    </row>
    <row r="41" spans="1:11" ht="21" customHeight="1" x14ac:dyDescent="0.15">
      <c r="A41" s="34"/>
      <c r="B41" s="34"/>
      <c r="C41" s="37" t="s">
        <v>108</v>
      </c>
      <c r="D41" s="37" t="s">
        <v>109</v>
      </c>
      <c r="E41" s="37">
        <v>2</v>
      </c>
      <c r="F41" s="46">
        <v>6</v>
      </c>
      <c r="G41" s="46">
        <f t="shared" si="1"/>
        <v>12</v>
      </c>
      <c r="H41" s="50"/>
      <c r="I41" s="37">
        <f>H31*E41</f>
        <v>78</v>
      </c>
      <c r="J41" s="64"/>
      <c r="K41" s="63"/>
    </row>
    <row r="42" spans="1:11" ht="21" customHeight="1" x14ac:dyDescent="0.15">
      <c r="A42" s="34"/>
      <c r="B42" s="34"/>
      <c r="C42" s="37" t="s">
        <v>97</v>
      </c>
      <c r="D42" s="37" t="s">
        <v>110</v>
      </c>
      <c r="E42" s="37">
        <v>2</v>
      </c>
      <c r="F42" s="46">
        <v>1.8</v>
      </c>
      <c r="G42" s="46">
        <f t="shared" si="1"/>
        <v>3.6</v>
      </c>
      <c r="H42" s="50"/>
      <c r="I42" s="37">
        <f>H31*E42</f>
        <v>78</v>
      </c>
      <c r="J42" s="64"/>
      <c r="K42" s="63"/>
    </row>
    <row r="43" spans="1:11" ht="21" customHeight="1" x14ac:dyDescent="0.15">
      <c r="A43" s="34"/>
      <c r="B43" s="34"/>
      <c r="C43" s="37" t="s">
        <v>111</v>
      </c>
      <c r="D43" s="37" t="s">
        <v>112</v>
      </c>
      <c r="E43" s="37">
        <v>2</v>
      </c>
      <c r="F43" s="46">
        <v>7.1</v>
      </c>
      <c r="G43" s="46">
        <f t="shared" si="1"/>
        <v>14.2</v>
      </c>
      <c r="H43" s="50"/>
      <c r="I43" s="37">
        <f>H31*E43</f>
        <v>78</v>
      </c>
      <c r="J43" s="64"/>
      <c r="K43" s="63"/>
    </row>
    <row r="44" spans="1:11" ht="21" customHeight="1" x14ac:dyDescent="0.15">
      <c r="A44" s="34" t="s">
        <v>115</v>
      </c>
      <c r="B44" s="34"/>
      <c r="C44" s="43" t="s">
        <v>116</v>
      </c>
      <c r="D44" s="37" t="s">
        <v>117</v>
      </c>
      <c r="E44" s="37">
        <v>1</v>
      </c>
      <c r="F44" s="46">
        <v>1.1000000000000001</v>
      </c>
      <c r="G44" s="46">
        <f t="shared" si="1"/>
        <v>1.1000000000000001</v>
      </c>
      <c r="H44" s="50">
        <v>57</v>
      </c>
      <c r="I44" s="37">
        <f>H44*E44</f>
        <v>57</v>
      </c>
      <c r="J44" s="64"/>
      <c r="K44" s="63"/>
    </row>
    <row r="45" spans="1:11" ht="21" customHeight="1" x14ac:dyDescent="0.15">
      <c r="A45" s="34"/>
      <c r="B45" s="34"/>
      <c r="C45" s="37" t="s">
        <v>88</v>
      </c>
      <c r="D45" s="37" t="s">
        <v>118</v>
      </c>
      <c r="E45" s="37">
        <v>1</v>
      </c>
      <c r="F45" s="46">
        <v>0.3</v>
      </c>
      <c r="G45" s="46">
        <f t="shared" si="1"/>
        <v>0.3</v>
      </c>
      <c r="H45" s="50"/>
      <c r="I45" s="37">
        <f>H44*E45</f>
        <v>57</v>
      </c>
      <c r="J45" s="64"/>
      <c r="K45" s="63"/>
    </row>
    <row r="46" spans="1:11" ht="21" customHeight="1" x14ac:dyDescent="0.15">
      <c r="A46" s="34"/>
      <c r="B46" s="34"/>
      <c r="C46" s="37" t="s">
        <v>21</v>
      </c>
      <c r="D46" s="37" t="s">
        <v>22</v>
      </c>
      <c r="E46" s="37">
        <v>1</v>
      </c>
      <c r="F46" s="46"/>
      <c r="G46" s="46"/>
      <c r="H46" s="50"/>
      <c r="I46" s="37">
        <f>H44*E46</f>
        <v>57</v>
      </c>
      <c r="J46" s="64"/>
      <c r="K46" s="63"/>
    </row>
    <row r="47" spans="1:11" ht="21" customHeight="1" x14ac:dyDescent="0.15">
      <c r="A47" s="34"/>
      <c r="B47" s="34"/>
      <c r="C47" s="37" t="s">
        <v>90</v>
      </c>
      <c r="D47" s="37" t="s">
        <v>119</v>
      </c>
      <c r="E47" s="37">
        <v>1</v>
      </c>
      <c r="F47" s="46">
        <v>1.1000000000000001</v>
      </c>
      <c r="G47" s="46">
        <f>E47*F47</f>
        <v>1.1000000000000001</v>
      </c>
      <c r="H47" s="50"/>
      <c r="I47" s="37">
        <f>H44*E47</f>
        <v>57</v>
      </c>
      <c r="J47" s="64"/>
      <c r="K47" s="63"/>
    </row>
    <row r="48" spans="1:11" ht="21" customHeight="1" x14ac:dyDescent="0.15">
      <c r="A48" s="34"/>
      <c r="B48" s="34"/>
      <c r="C48" s="37" t="s">
        <v>120</v>
      </c>
      <c r="D48" s="37" t="s">
        <v>121</v>
      </c>
      <c r="E48" s="37">
        <v>1</v>
      </c>
      <c r="F48" s="46">
        <v>7.5</v>
      </c>
      <c r="G48" s="46">
        <f>E48*F48</f>
        <v>7.5</v>
      </c>
      <c r="H48" s="50"/>
      <c r="I48" s="37">
        <f>H44*E48</f>
        <v>57</v>
      </c>
      <c r="J48" s="64"/>
      <c r="K48" s="63"/>
    </row>
    <row r="49" spans="1:11" ht="21" customHeight="1" x14ac:dyDescent="0.15">
      <c r="A49" s="34"/>
      <c r="B49" s="34"/>
      <c r="C49" s="37" t="s">
        <v>122</v>
      </c>
      <c r="D49" s="37" t="s">
        <v>123</v>
      </c>
      <c r="E49" s="37">
        <v>9</v>
      </c>
      <c r="F49" s="46">
        <v>0.27</v>
      </c>
      <c r="G49" s="46">
        <f>F49</f>
        <v>0.27</v>
      </c>
      <c r="H49" s="50"/>
      <c r="I49" s="37">
        <f>H44*E49</f>
        <v>513</v>
      </c>
      <c r="J49" s="64"/>
      <c r="K49" s="63"/>
    </row>
    <row r="50" spans="1:11" ht="21" customHeight="1" x14ac:dyDescent="0.15">
      <c r="A50" s="34"/>
      <c r="B50" s="34"/>
      <c r="C50" s="37" t="s">
        <v>124</v>
      </c>
      <c r="D50" s="37" t="s">
        <v>125</v>
      </c>
      <c r="E50" s="37">
        <v>1</v>
      </c>
      <c r="F50" s="46">
        <v>0.6</v>
      </c>
      <c r="G50" s="46">
        <f>E50*F50</f>
        <v>0.6</v>
      </c>
      <c r="H50" s="50"/>
      <c r="I50" s="37">
        <f>H44*E50</f>
        <v>57</v>
      </c>
      <c r="J50" s="64"/>
      <c r="K50" s="63"/>
    </row>
    <row r="51" spans="1:11" ht="21" customHeight="1" x14ac:dyDescent="0.15">
      <c r="A51" s="34"/>
      <c r="B51" s="34"/>
      <c r="C51" s="37" t="s">
        <v>126</v>
      </c>
      <c r="D51" s="37" t="s">
        <v>127</v>
      </c>
      <c r="E51" s="37">
        <v>1</v>
      </c>
      <c r="F51" s="46">
        <v>1.5</v>
      </c>
      <c r="G51" s="46">
        <f>E51*F51</f>
        <v>1.5</v>
      </c>
      <c r="H51" s="50"/>
      <c r="I51" s="37">
        <f>H44*E51</f>
        <v>57</v>
      </c>
      <c r="J51" s="64"/>
      <c r="K51" s="63"/>
    </row>
    <row r="52" spans="1:11" ht="21" customHeight="1" x14ac:dyDescent="0.15">
      <c r="A52" s="34"/>
      <c r="B52" s="34"/>
      <c r="C52" s="37" t="s">
        <v>128</v>
      </c>
      <c r="D52" s="37" t="s">
        <v>129</v>
      </c>
      <c r="E52" s="37">
        <v>3</v>
      </c>
      <c r="F52" s="46">
        <v>15</v>
      </c>
      <c r="G52" s="46">
        <f>E52*F52</f>
        <v>45</v>
      </c>
      <c r="H52" s="50"/>
      <c r="I52" s="37">
        <f>H44*E52</f>
        <v>171</v>
      </c>
      <c r="J52" s="64"/>
      <c r="K52" s="63"/>
    </row>
    <row r="53" spans="1:11" ht="21" customHeight="1" x14ac:dyDescent="0.15">
      <c r="A53" s="36" t="s">
        <v>130</v>
      </c>
      <c r="B53" s="37"/>
      <c r="C53" s="37"/>
      <c r="D53" s="37"/>
      <c r="E53" s="46"/>
      <c r="F53" s="46"/>
      <c r="G53" s="51"/>
      <c r="H53" s="37"/>
      <c r="I53" s="37"/>
      <c r="J53" s="64"/>
      <c r="K53" s="63"/>
    </row>
    <row r="54" spans="1:11" ht="21" customHeight="1" x14ac:dyDescent="0.15">
      <c r="A54" s="37">
        <v>1</v>
      </c>
      <c r="B54" s="46" t="s">
        <v>34</v>
      </c>
      <c r="C54" s="46" t="s">
        <v>35</v>
      </c>
      <c r="D54" s="46">
        <f>G6/2.5+6</f>
        <v>38.365412352</v>
      </c>
      <c r="E54" s="46" t="s">
        <v>29</v>
      </c>
      <c r="F54" s="46">
        <v>0.02</v>
      </c>
      <c r="G54" s="46">
        <f>D54*(1+F54)</f>
        <v>39.132720599039999</v>
      </c>
      <c r="H54" s="46">
        <v>4.3</v>
      </c>
      <c r="I54" s="46">
        <f>H54*G54</f>
        <v>168.27069857587199</v>
      </c>
      <c r="J54" s="64"/>
      <c r="K54" s="63"/>
    </row>
    <row r="55" spans="1:11" ht="21" customHeight="1" x14ac:dyDescent="0.15">
      <c r="A55" s="37">
        <v>2</v>
      </c>
      <c r="B55" s="46" t="s">
        <v>36</v>
      </c>
      <c r="C55" s="46" t="s">
        <v>37</v>
      </c>
      <c r="D55" s="46">
        <f>G6/5</f>
        <v>16.182706176</v>
      </c>
      <c r="E55" s="46" t="s">
        <v>29</v>
      </c>
      <c r="F55" s="46">
        <v>0.02</v>
      </c>
      <c r="G55" s="46">
        <f>D55*(1+F55)</f>
        <v>16.506360299520001</v>
      </c>
      <c r="H55" s="46">
        <v>1.7</v>
      </c>
      <c r="I55" s="46">
        <f>H55*G55</f>
        <v>28.060812509184</v>
      </c>
      <c r="J55" s="64"/>
      <c r="K55" s="63"/>
    </row>
    <row r="56" spans="1:11" ht="21" customHeight="1" x14ac:dyDescent="0.15">
      <c r="A56" s="37">
        <v>3</v>
      </c>
      <c r="B56" s="46" t="s">
        <v>38</v>
      </c>
      <c r="C56" s="46" t="s">
        <v>131</v>
      </c>
      <c r="D56" s="46">
        <v>504</v>
      </c>
      <c r="E56" s="46" t="s">
        <v>29</v>
      </c>
      <c r="F56" s="46">
        <v>0.02</v>
      </c>
      <c r="G56" s="46">
        <f>D56*(1+F56)</f>
        <v>514.08000000000004</v>
      </c>
      <c r="H56" s="46">
        <v>6.9</v>
      </c>
      <c r="I56" s="46">
        <f>H56*G56</f>
        <v>3547.1520000000005</v>
      </c>
      <c r="J56" s="64"/>
      <c r="K56" s="63"/>
    </row>
    <row r="57" spans="1:11" ht="21" customHeight="1" x14ac:dyDescent="0.15">
      <c r="A57" s="37">
        <v>4</v>
      </c>
      <c r="B57" s="46" t="s">
        <v>40</v>
      </c>
      <c r="C57" s="46" t="s">
        <v>41</v>
      </c>
      <c r="D57" s="46">
        <v>522</v>
      </c>
      <c r="E57" s="46" t="s">
        <v>29</v>
      </c>
      <c r="F57" s="46">
        <v>0.02</v>
      </c>
      <c r="G57" s="46">
        <f>D57*(1+F57)</f>
        <v>532.44000000000005</v>
      </c>
      <c r="H57" s="46">
        <v>4.3</v>
      </c>
      <c r="I57" s="46">
        <f>H57*G57</f>
        <v>2289.4920000000002</v>
      </c>
      <c r="J57" s="64"/>
      <c r="K57" s="63"/>
    </row>
    <row r="58" spans="1:11" ht="21" customHeight="1" x14ac:dyDescent="0.15">
      <c r="A58" s="37">
        <v>5</v>
      </c>
      <c r="B58" s="46" t="s">
        <v>42</v>
      </c>
      <c r="C58" s="46" t="s">
        <v>43</v>
      </c>
      <c r="D58" s="46">
        <v>369</v>
      </c>
      <c r="E58" s="46" t="s">
        <v>29</v>
      </c>
      <c r="F58" s="46">
        <v>0.02</v>
      </c>
      <c r="G58" s="46">
        <f>D58*(1+F58)</f>
        <v>376.38</v>
      </c>
      <c r="H58" s="46">
        <v>1.9</v>
      </c>
      <c r="I58" s="46">
        <f>H58*G58</f>
        <v>715.12199999999996</v>
      </c>
      <c r="J58" s="64"/>
      <c r="K58" s="63"/>
    </row>
    <row r="59" spans="1:11" ht="21" customHeight="1" x14ac:dyDescent="0.15">
      <c r="A59" s="36" t="s">
        <v>49</v>
      </c>
      <c r="B59" s="37" t="s">
        <v>50</v>
      </c>
      <c r="C59" s="37"/>
      <c r="D59" s="37"/>
      <c r="E59" s="37"/>
      <c r="F59" s="37"/>
      <c r="G59" s="46"/>
      <c r="H59" s="46"/>
      <c r="I59" s="46"/>
      <c r="J59" s="64"/>
      <c r="K59" s="63"/>
    </row>
    <row r="60" spans="1:11" ht="21" customHeight="1" x14ac:dyDescent="0.15">
      <c r="A60" s="37">
        <v>1</v>
      </c>
      <c r="B60" s="37" t="s">
        <v>51</v>
      </c>
      <c r="C60" s="37" t="s">
        <v>52</v>
      </c>
      <c r="D60" s="37">
        <f>24*10</f>
        <v>240</v>
      </c>
      <c r="E60" s="37" t="s">
        <v>30</v>
      </c>
      <c r="F60" s="37">
        <v>0.03</v>
      </c>
      <c r="G60" s="46">
        <f t="shared" ref="G60:G65" si="2">D60*(1+F60)</f>
        <v>247.20000000000002</v>
      </c>
      <c r="H60" s="46">
        <v>0.89</v>
      </c>
      <c r="I60" s="46">
        <f t="shared" ref="I60:I65" si="3">H60*G60</f>
        <v>220.00800000000001</v>
      </c>
      <c r="J60" s="64"/>
      <c r="K60" s="63"/>
    </row>
    <row r="61" spans="1:11" ht="21" customHeight="1" x14ac:dyDescent="0.15">
      <c r="A61" s="37">
        <v>2</v>
      </c>
      <c r="B61" s="37" t="s">
        <v>53</v>
      </c>
      <c r="C61" s="37" t="s">
        <v>52</v>
      </c>
      <c r="D61" s="37">
        <f>24*80</f>
        <v>1920</v>
      </c>
      <c r="E61" s="37" t="s">
        <v>30</v>
      </c>
      <c r="F61" s="37">
        <v>0.03</v>
      </c>
      <c r="G61" s="46">
        <f t="shared" si="2"/>
        <v>1977.6000000000001</v>
      </c>
      <c r="H61" s="46">
        <v>0.89</v>
      </c>
      <c r="I61" s="46">
        <f t="shared" si="3"/>
        <v>1760.0640000000001</v>
      </c>
      <c r="J61" s="64"/>
      <c r="K61" s="63"/>
    </row>
    <row r="62" spans="1:11" ht="21" customHeight="1" x14ac:dyDescent="0.15">
      <c r="A62" s="37">
        <v>3</v>
      </c>
      <c r="B62" s="37" t="s">
        <v>54</v>
      </c>
      <c r="C62" s="37" t="s">
        <v>55</v>
      </c>
      <c r="D62" s="37">
        <f>24*8</f>
        <v>192</v>
      </c>
      <c r="E62" s="37" t="s">
        <v>29</v>
      </c>
      <c r="F62" s="37">
        <v>0.03</v>
      </c>
      <c r="G62" s="46">
        <f t="shared" si="2"/>
        <v>197.76</v>
      </c>
      <c r="H62" s="46">
        <v>9.9000000000000005E-2</v>
      </c>
      <c r="I62" s="46">
        <f t="shared" si="3"/>
        <v>19.578240000000001</v>
      </c>
      <c r="J62" s="64"/>
      <c r="K62" s="63"/>
    </row>
    <row r="63" spans="1:11" ht="21" customHeight="1" x14ac:dyDescent="0.15">
      <c r="A63" s="37">
        <v>4</v>
      </c>
      <c r="B63" s="37" t="s">
        <v>56</v>
      </c>
      <c r="C63" s="37" t="s">
        <v>57</v>
      </c>
      <c r="D63" s="37">
        <f>24*8</f>
        <v>192</v>
      </c>
      <c r="E63" s="37" t="s">
        <v>29</v>
      </c>
      <c r="F63" s="37">
        <v>0.03</v>
      </c>
      <c r="G63" s="46">
        <f t="shared" si="2"/>
        <v>197.76</v>
      </c>
      <c r="H63" s="46">
        <v>3.4000000000000002E-2</v>
      </c>
      <c r="I63" s="46">
        <f t="shared" si="3"/>
        <v>6.72384</v>
      </c>
      <c r="J63" s="64"/>
      <c r="K63" s="63"/>
    </row>
    <row r="64" spans="1:11" ht="21" customHeight="1" x14ac:dyDescent="0.15">
      <c r="A64" s="37">
        <v>5</v>
      </c>
      <c r="B64" s="37" t="s">
        <v>58</v>
      </c>
      <c r="C64" s="37" t="s">
        <v>59</v>
      </c>
      <c r="D64" s="37">
        <f>24*8</f>
        <v>192</v>
      </c>
      <c r="E64" s="37" t="s">
        <v>29</v>
      </c>
      <c r="F64" s="37">
        <v>0.03</v>
      </c>
      <c r="G64" s="46">
        <f t="shared" si="2"/>
        <v>197.76</v>
      </c>
      <c r="H64" s="46">
        <v>8.0000000000000002E-3</v>
      </c>
      <c r="I64" s="46">
        <f t="shared" si="3"/>
        <v>1.5820799999999999</v>
      </c>
      <c r="J64" s="64"/>
      <c r="K64" s="63"/>
    </row>
    <row r="65" spans="1:11" ht="21" customHeight="1" x14ac:dyDescent="0.15">
      <c r="A65" s="37">
        <v>6</v>
      </c>
      <c r="B65" s="37" t="s">
        <v>60</v>
      </c>
      <c r="C65" s="37" t="s">
        <v>61</v>
      </c>
      <c r="D65" s="37">
        <f>24*4</f>
        <v>96</v>
      </c>
      <c r="E65" s="37" t="s">
        <v>62</v>
      </c>
      <c r="F65" s="37">
        <v>0.03</v>
      </c>
      <c r="G65" s="46">
        <f t="shared" si="2"/>
        <v>98.88</v>
      </c>
      <c r="H65" s="46">
        <v>0.25</v>
      </c>
      <c r="I65" s="46">
        <f t="shared" si="3"/>
        <v>24.72</v>
      </c>
      <c r="J65" s="64"/>
      <c r="K65" s="63"/>
    </row>
    <row r="66" spans="1:11" ht="21" customHeight="1" x14ac:dyDescent="0.15">
      <c r="A66" s="37">
        <v>7</v>
      </c>
      <c r="B66" s="37" t="s">
        <v>63</v>
      </c>
      <c r="C66" s="37" t="s">
        <v>64</v>
      </c>
      <c r="D66" s="37">
        <f>24*20</f>
        <v>480</v>
      </c>
      <c r="E66" s="37" t="s">
        <v>62</v>
      </c>
      <c r="F66" s="37"/>
      <c r="G66" s="37"/>
      <c r="H66" s="37"/>
      <c r="I66" s="37"/>
      <c r="J66" s="64"/>
      <c r="K66" s="63"/>
    </row>
    <row r="67" spans="1:11" ht="21" customHeight="1" x14ac:dyDescent="0.15">
      <c r="A67" s="36" t="s">
        <v>65</v>
      </c>
      <c r="B67" s="37" t="s">
        <v>66</v>
      </c>
      <c r="C67" s="37"/>
      <c r="D67" s="37"/>
      <c r="E67" s="37"/>
      <c r="F67" s="37"/>
      <c r="G67" s="37"/>
      <c r="H67" s="37"/>
      <c r="I67" s="37"/>
      <c r="J67" s="64"/>
      <c r="K67" s="63"/>
    </row>
    <row r="68" spans="1:11" ht="21" customHeight="1" x14ac:dyDescent="0.15">
      <c r="A68" s="37">
        <v>1</v>
      </c>
      <c r="B68" s="47" t="s">
        <v>67</v>
      </c>
      <c r="C68" s="48"/>
      <c r="D68" s="37">
        <f>16*6</f>
        <v>96</v>
      </c>
      <c r="E68" s="37" t="s">
        <v>62</v>
      </c>
      <c r="F68" s="37"/>
      <c r="G68" s="37">
        <f t="shared" ref="G68:G73" si="4">D68</f>
        <v>96</v>
      </c>
      <c r="H68" s="37"/>
      <c r="I68" s="37"/>
      <c r="J68" s="64"/>
      <c r="K68" s="63"/>
    </row>
    <row r="69" spans="1:11" ht="21" customHeight="1" x14ac:dyDescent="0.15">
      <c r="A69" s="37">
        <v>2</v>
      </c>
      <c r="B69" s="47" t="s">
        <v>68</v>
      </c>
      <c r="C69" s="48"/>
      <c r="D69" s="37">
        <f>24*2</f>
        <v>48</v>
      </c>
      <c r="E69" s="37" t="s">
        <v>62</v>
      </c>
      <c r="F69" s="37"/>
      <c r="G69" s="37">
        <f t="shared" si="4"/>
        <v>48</v>
      </c>
      <c r="H69" s="37"/>
      <c r="I69" s="37"/>
      <c r="J69" s="64"/>
      <c r="K69" s="63"/>
    </row>
    <row r="70" spans="1:11" ht="21" customHeight="1" x14ac:dyDescent="0.15">
      <c r="A70" s="37">
        <v>3</v>
      </c>
      <c r="B70" s="47" t="s">
        <v>69</v>
      </c>
      <c r="C70" s="48"/>
      <c r="D70" s="37">
        <f>24*2</f>
        <v>48</v>
      </c>
      <c r="E70" s="37" t="s">
        <v>62</v>
      </c>
      <c r="F70" s="37"/>
      <c r="G70" s="37">
        <f t="shared" si="4"/>
        <v>48</v>
      </c>
      <c r="H70" s="37"/>
      <c r="I70" s="37"/>
      <c r="J70" s="64"/>
      <c r="K70" s="63"/>
    </row>
    <row r="71" spans="1:11" ht="21" customHeight="1" x14ac:dyDescent="0.15">
      <c r="A71" s="37">
        <v>4</v>
      </c>
      <c r="B71" s="47" t="s">
        <v>70</v>
      </c>
      <c r="C71" s="48"/>
      <c r="D71" s="37">
        <f>24*2</f>
        <v>48</v>
      </c>
      <c r="E71" s="37" t="s">
        <v>62</v>
      </c>
      <c r="F71" s="37"/>
      <c r="G71" s="37">
        <f t="shared" si="4"/>
        <v>48</v>
      </c>
      <c r="H71" s="37"/>
      <c r="I71" s="37"/>
      <c r="J71" s="64"/>
      <c r="K71" s="63"/>
    </row>
    <row r="72" spans="1:11" ht="21" customHeight="1" x14ac:dyDescent="0.15">
      <c r="A72" s="37">
        <v>6</v>
      </c>
      <c r="B72" s="47" t="s">
        <v>71</v>
      </c>
      <c r="C72" s="48"/>
      <c r="D72" s="37">
        <f>24*18</f>
        <v>432</v>
      </c>
      <c r="E72" s="37" t="s">
        <v>48</v>
      </c>
      <c r="F72" s="37"/>
      <c r="G72" s="37">
        <f t="shared" si="4"/>
        <v>432</v>
      </c>
      <c r="H72" s="37"/>
      <c r="I72" s="37"/>
      <c r="J72" s="64"/>
      <c r="K72" s="63"/>
    </row>
    <row r="73" spans="1:11" ht="21" customHeight="1" x14ac:dyDescent="0.15">
      <c r="A73" s="37">
        <v>7</v>
      </c>
      <c r="B73" s="47" t="s">
        <v>132</v>
      </c>
      <c r="C73" s="48"/>
      <c r="D73" s="37">
        <f>21*4</f>
        <v>84</v>
      </c>
      <c r="E73" s="37" t="s">
        <v>48</v>
      </c>
      <c r="F73" s="37"/>
      <c r="G73" s="37">
        <f t="shared" si="4"/>
        <v>84</v>
      </c>
      <c r="H73" s="37"/>
      <c r="I73" s="37"/>
      <c r="J73" s="64"/>
      <c r="K73" s="63"/>
    </row>
  </sheetData>
  <protectedRanges>
    <protectedRange algorithmName="SHA-512" hashValue="2mi0XbW/TWi/f/bwXvKnWb4JzSOIhzVXbTJfXWm1UaNWX28nHDPqMo60l7dMe3JY+VrQWb7rZGCcVlDcRMBB2w==" saltValue="MkOkG/g4nY9InEIn2hSFfg==" spinCount="100000" sqref="J6:J73" name="区域1"/>
  </protectedRanges>
  <mergeCells count="30">
    <mergeCell ref="J3:J4"/>
    <mergeCell ref="K3:K4"/>
    <mergeCell ref="A1:K2"/>
    <mergeCell ref="A3:B4"/>
    <mergeCell ref="A13:B18"/>
    <mergeCell ref="A19:B30"/>
    <mergeCell ref="A31:B43"/>
    <mergeCell ref="A44:B52"/>
    <mergeCell ref="A9:B11"/>
    <mergeCell ref="H3:H4"/>
    <mergeCell ref="H13:H18"/>
    <mergeCell ref="H19:H30"/>
    <mergeCell ref="H31:H43"/>
    <mergeCell ref="H44:H52"/>
    <mergeCell ref="I3:I4"/>
    <mergeCell ref="B68:C68"/>
    <mergeCell ref="B69:C69"/>
    <mergeCell ref="B70:C70"/>
    <mergeCell ref="B71:C71"/>
    <mergeCell ref="B72:C72"/>
    <mergeCell ref="B73:C73"/>
    <mergeCell ref="F3:G3"/>
    <mergeCell ref="A5:B5"/>
    <mergeCell ref="A6:B6"/>
    <mergeCell ref="A7:B7"/>
    <mergeCell ref="A8:B8"/>
    <mergeCell ref="A12:B12"/>
    <mergeCell ref="C3:C4"/>
    <mergeCell ref="D3:D4"/>
    <mergeCell ref="E3:E4"/>
  </mergeCells>
  <phoneticPr fontId="4" type="noConversion"/>
  <printOptions horizontalCentered="1"/>
  <pageMargins left="0.35" right="0.35" top="0.79000000000000015" bottom="0.79000000000000015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qJdB2g</vt:lpstr>
      <vt:lpstr>UWxrMr</vt:lpstr>
      <vt:lpstr>03WQkM</vt:lpstr>
      <vt:lpstr>r6xrMg</vt:lpstr>
      <vt:lpstr>电气部分材料表</vt:lpstr>
      <vt:lpstr>材料表</vt:lpstr>
      <vt:lpstr>电气部分材料表!Print_Area</vt:lpstr>
      <vt:lpstr>材料表!Print_Titles</vt:lpstr>
      <vt:lpstr>电气部分材料表!Print_Titles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>1</cp:revision>
  <cp:lastPrinted>2021-11-30T09:06:14Z</cp:lastPrinted>
  <dcterms:created xsi:type="dcterms:W3CDTF">1996-12-17T01:32:42Z</dcterms:created>
  <dcterms:modified xsi:type="dcterms:W3CDTF">2024-03-21T02:42:53Z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CA5214D5065940769DC04EF294834387</vt:lpwstr>
  </property>
</Properties>
</file>